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Metrics" sheetId="2" state="visible" r:id="rId2"/>
    <sheet xmlns:r="http://schemas.openxmlformats.org/officeDocument/2006/relationships" name="Funds" sheetId="3" state="visible" r:id="rId3"/>
    <sheet xmlns:r="http://schemas.openxmlformats.org/officeDocument/2006/relationships" name="Cashflows" sheetId="4" state="visible" r:id="rId4"/>
    <sheet xmlns:r="http://schemas.openxmlformats.org/officeDocument/2006/relationships" name="NAV_Bridge" sheetId="5" state="visible" r:id="rId5"/>
    <sheet xmlns:r="http://schemas.openxmlformats.org/officeDocument/2006/relationships" name="Exceptions" sheetId="6" state="visible" r:id="rId6"/>
    <sheet xmlns:r="http://schemas.openxmlformats.org/officeDocument/2006/relationships" name="Quarterly" sheetId="7" state="visible" r:id="rId7"/>
    <sheet xmlns:r="http://schemas.openxmlformats.org/officeDocument/2006/relationships" name="Checks" sheetId="8" state="visible" r:id="rId8"/>
  </sheets>
  <definedNames>
    <definedName name="AsAt">README!$B$3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-mmm-yyyy"/>
    <numFmt numFmtId="166" formatCode="#,##0.0;(#,##0.0);&quot;-&quot;"/>
    <numFmt numFmtId="167" formatCode="0.0%;(0.0%);&quot;-&quot;"/>
    <numFmt numFmtId="168" formatCode="#,##0.000;(#,##0.000);&quot;-&quot;"/>
    <numFmt numFmtId="169" formatCode="0.00&quot;x&quot;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</font>
    <font>
      <name val="Arial"/>
      <color rgb="000000FF"/>
    </font>
    <font>
      <name val="Arial"/>
    </font>
    <font>
      <name val="Arial"/>
      <b val="1"/>
      <color rgb="00FFFFFF"/>
    </font>
    <font>
      <name val="Arial"/>
      <i val="1"/>
      <color rgb="0064748B"/>
    </font>
    <font>
      <name val="Arial"/>
      <color rgb="00008000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top style="thin">
        <color rgb="0094A3B8"/>
      </top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center" vertical="center" wrapText="1"/>
    </xf>
    <xf numFmtId="0" fontId="7" fillId="0" borderId="0" pivotButton="0" quotePrefix="0" xfId="0"/>
    <xf numFmtId="166" fontId="7" fillId="0" borderId="0" pivotButton="0" quotePrefix="0" xfId="0"/>
    <xf numFmtId="167" fontId="4" fillId="0" borderId="0" pivotButton="0" quotePrefix="0" xfId="0"/>
    <xf numFmtId="169" fontId="4" fillId="0" borderId="0" pivotButton="0" quotePrefix="0" xfId="0"/>
    <xf numFmtId="167" fontId="7" fillId="0" borderId="0" pivotButton="0" quotePrefix="0" xfId="0"/>
    <xf numFmtId="1" fontId="7" fillId="0" borderId="0" pivotButton="0" quotePrefix="0" xfId="0"/>
    <xf numFmtId="0" fontId="4" fillId="0" borderId="0" pivotButton="0" quotePrefix="0" xfId="0"/>
    <xf numFmtId="0" fontId="2" fillId="3" borderId="1" pivotButton="0" quotePrefix="0" xfId="0"/>
    <xf numFmtId="0" fontId="0" fillId="3" borderId="1" pivotButton="0" quotePrefix="0" xfId="0"/>
    <xf numFmtId="166" fontId="2" fillId="3" borderId="1" pivotButton="0" quotePrefix="0" xfId="0"/>
    <xf numFmtId="167" fontId="2" fillId="3" borderId="1" pivotButton="0" quotePrefix="0" xfId="0"/>
    <xf numFmtId="169" fontId="2" fillId="3" borderId="1" pivotButton="0" quotePrefix="0" xfId="0"/>
    <xf numFmtId="1" fontId="2" fillId="3" borderId="1" pivotButton="0" quotePrefix="0" xfId="0"/>
    <xf numFmtId="0" fontId="6" fillId="0" borderId="0" pivotButton="0" quotePrefix="0" xfId="0"/>
    <xf numFmtId="166" fontId="4" fillId="0" borderId="0" pivotButton="0" quotePrefix="0" xfId="0"/>
    <xf numFmtId="0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5" fontId="3" fillId="0" borderId="0" pivotButton="0" quotePrefix="0" xfId="0"/>
    <xf numFmtId="166" fontId="2" fillId="0" borderId="1" pivotButton="0" quotePrefix="0" xfId="0"/>
    <xf numFmtId="168" fontId="3" fillId="0" borderId="0" pivotButton="0" quotePrefix="0" xfId="0"/>
    <xf numFmtId="1" fontId="4" fillId="0" borderId="0" pivotButton="0" quotePrefix="0" xfId="0"/>
    <xf numFmtId="165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1" t="inlineStr">
        <is>
          <t>Fund Operations Model — Q3 2026</t>
        </is>
      </c>
    </row>
    <row r="3">
      <c r="A3" s="2" t="inlineStr">
        <is>
          <t>As-at date</t>
        </is>
      </c>
      <c r="B3" s="3" t="n">
        <v>46295</v>
      </c>
    </row>
    <row r="4">
      <c r="A4" s="2" t="inlineStr">
        <is>
          <t>Purpose</t>
        </is>
      </c>
      <c r="B4" s="4" t="inlineStr">
        <is>
          <t>Fund performance, NAV bridge, cash-flow trend and data-quality checks rebuilt with live Excel formulas from transaction-level data.</t>
        </is>
      </c>
    </row>
    <row r="5">
      <c r="A5" s="2" t="inlineStr">
        <is>
          <t>Source</t>
        </is>
      </c>
      <c r="B5" s="4" t="inlineStr">
        <is>
          <t>Synthetic demo data. Cashflows sheet = output of pipeline.py (cleaned administrator export, 128 raw rows -&gt; 125 clean).</t>
        </is>
      </c>
    </row>
    <row r="6">
      <c r="A6" s="2" t="inlineStr">
        <is>
          <t>Equivalent to</t>
        </is>
      </c>
      <c r="B6" s="4" t="inlineStr">
        <is>
          <t>fund_metrics.sql and dq_rules.sql on projectaccountants.site: same figures, Excel formulas instead of SQL.</t>
        </is>
      </c>
    </row>
    <row r="7">
      <c r="A7" s="2" t="inlineStr">
        <is>
          <t>Colour key</t>
        </is>
      </c>
      <c r="B7" s="4" t="inlineStr">
        <is>
          <t>Blue = hard-coded input  ·  Black = formula  ·  Green = link to another sheet</t>
        </is>
      </c>
    </row>
    <row r="8">
      <c r="A8" s="2" t="inlineStr">
        <is>
          <t>How to use</t>
        </is>
      </c>
      <c r="B8" s="4" t="inlineStr">
        <is>
          <t>Change the as-at date above or any blue input on Funds / NAV_Bridge / Cashflows / Exceptions; Metrics, Quarterly and Checks recalculate.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4" customWidth="1" min="3" max="3"/>
    <col width="13" customWidth="1" min="4" max="4"/>
    <col width="10" customWidth="1" min="5" max="5"/>
    <col width="15" customWidth="1" min="6" max="6"/>
    <col width="11" customWidth="1" min="7" max="7"/>
    <col width="9" customWidth="1" min="8" max="8"/>
    <col width="9" customWidth="1" min="9" max="9"/>
    <col width="9" customWidth="1" min="10" max="10"/>
    <col width="10" customWidth="1" min="11" max="11"/>
    <col width="12" customWidth="1" min="12" max="12"/>
    <col width="11" customWidth="1" min="13" max="13"/>
  </cols>
  <sheetData>
    <row r="1">
      <c r="A1" s="1" t="inlineStr">
        <is>
          <t>Fund performance (as-at date on README)</t>
        </is>
      </c>
    </row>
    <row r="3" ht="30" customHeight="1">
      <c r="A3" s="5" t="inlineStr">
        <is>
          <t>Fund ID</t>
        </is>
      </c>
      <c r="B3" s="5" t="inlineStr">
        <is>
          <t>Fund</t>
        </is>
      </c>
      <c r="C3" s="5" t="inlineStr">
        <is>
          <t>Commitment ($m)</t>
        </is>
      </c>
      <c r="D3" s="5" t="inlineStr">
        <is>
          <t>Paid-in ($m)</t>
        </is>
      </c>
      <c r="E3" s="5" t="inlineStr">
        <is>
          <t>% Called</t>
        </is>
      </c>
      <c r="F3" s="5" t="inlineStr">
        <is>
          <t>Distributed ($m)</t>
        </is>
      </c>
      <c r="G3" s="5" t="inlineStr">
        <is>
          <t>NAV ($m)</t>
        </is>
      </c>
      <c r="H3" s="5" t="inlineStr">
        <is>
          <t>DPI</t>
        </is>
      </c>
      <c r="I3" s="5" t="inlineStr">
        <is>
          <t>RVPI</t>
        </is>
      </c>
      <c r="J3" s="5" t="inlineStr">
        <is>
          <t>TVPI</t>
        </is>
      </c>
      <c r="K3" s="5" t="inlineStr">
        <is>
          <t>Net IRR</t>
        </is>
      </c>
      <c r="L3" s="5" t="inlineStr">
        <is>
          <t>Open exceptions</t>
        </is>
      </c>
      <c r="M3" s="5" t="inlineStr">
        <is>
          <t>DQ status</t>
        </is>
      </c>
    </row>
    <row r="4">
      <c r="A4" s="6">
        <f>Funds!A4</f>
        <v/>
      </c>
      <c r="B4" s="6">
        <f>Funds!B4</f>
        <v/>
      </c>
      <c r="C4" s="7">
        <f>Funds!E4</f>
        <v/>
      </c>
      <c r="D4" s="7">
        <f>SUMIFS(Cashflows!$E$4:$E$128,Cashflows!$B$4:$B$128,$A4,Cashflows!$D$4:$D$128,"call",Cashflows!$C$4:$C$128,"&lt;="&amp;AsAt)</f>
        <v/>
      </c>
      <c r="E4" s="8">
        <f>IFERROR(D4/C4,0)</f>
        <v/>
      </c>
      <c r="F4" s="7">
        <f>SUMIFS(Cashflows!$E$4:$E$128,Cashflows!$B$4:$B$128,$A4,Cashflows!$D$4:$D$128,"distribution",Cashflows!$C$4:$C$128,"&lt;="&amp;AsAt)</f>
        <v/>
      </c>
      <c r="G4" s="7">
        <f>INDEX(NAV_Bridge!$H$4:$H$8,MATCH($A4,NAV_Bridge!$A$4:$A$8,0))</f>
        <v/>
      </c>
      <c r="H4" s="9">
        <f>IFERROR(F4/D4,0)</f>
        <v/>
      </c>
      <c r="I4" s="9">
        <f>IFERROR(G4/D4,0)</f>
        <v/>
      </c>
      <c r="J4" s="9">
        <f>H4+I4</f>
        <v/>
      </c>
      <c r="K4" s="10">
        <f>Funds!F4</f>
        <v/>
      </c>
      <c r="L4" s="11">
        <f>COUNTIFS(Exceptions!$B$4:$B$10,$A4,Exceptions!$H$4:$H$10,"Open")</f>
        <v/>
      </c>
      <c r="M4" s="12">
        <f>IF(L4&lt;=1,"Green",IF(L4&lt;=4,"Amber","Red"))</f>
        <v/>
      </c>
    </row>
    <row r="5">
      <c r="A5" s="6">
        <f>Funds!A5</f>
        <v/>
      </c>
      <c r="B5" s="6">
        <f>Funds!B5</f>
        <v/>
      </c>
      <c r="C5" s="7">
        <f>Funds!E5</f>
        <v/>
      </c>
      <c r="D5" s="7">
        <f>SUMIFS(Cashflows!$E$4:$E$128,Cashflows!$B$4:$B$128,$A5,Cashflows!$D$4:$D$128,"call",Cashflows!$C$4:$C$128,"&lt;="&amp;AsAt)</f>
        <v/>
      </c>
      <c r="E5" s="8">
        <f>IFERROR(D5/C5,0)</f>
        <v/>
      </c>
      <c r="F5" s="7">
        <f>SUMIFS(Cashflows!$E$4:$E$128,Cashflows!$B$4:$B$128,$A5,Cashflows!$D$4:$D$128,"distribution",Cashflows!$C$4:$C$128,"&lt;="&amp;AsAt)</f>
        <v/>
      </c>
      <c r="G5" s="7">
        <f>INDEX(NAV_Bridge!$H$4:$H$8,MATCH($A5,NAV_Bridge!$A$4:$A$8,0))</f>
        <v/>
      </c>
      <c r="H5" s="9">
        <f>IFERROR(F5/D5,0)</f>
        <v/>
      </c>
      <c r="I5" s="9">
        <f>IFERROR(G5/D5,0)</f>
        <v/>
      </c>
      <c r="J5" s="9">
        <f>H5+I5</f>
        <v/>
      </c>
      <c r="K5" s="10">
        <f>Funds!F5</f>
        <v/>
      </c>
      <c r="L5" s="11">
        <f>COUNTIFS(Exceptions!$B$4:$B$10,$A5,Exceptions!$H$4:$H$10,"Open")</f>
        <v/>
      </c>
      <c r="M5" s="12">
        <f>IF(L5&lt;=1,"Green",IF(L5&lt;=4,"Amber","Red"))</f>
        <v/>
      </c>
    </row>
    <row r="6">
      <c r="A6" s="6">
        <f>Funds!A6</f>
        <v/>
      </c>
      <c r="B6" s="6">
        <f>Funds!B6</f>
        <v/>
      </c>
      <c r="C6" s="7">
        <f>Funds!E6</f>
        <v/>
      </c>
      <c r="D6" s="7">
        <f>SUMIFS(Cashflows!$E$4:$E$128,Cashflows!$B$4:$B$128,$A6,Cashflows!$D$4:$D$128,"call",Cashflows!$C$4:$C$128,"&lt;="&amp;AsAt)</f>
        <v/>
      </c>
      <c r="E6" s="8">
        <f>IFERROR(D6/C6,0)</f>
        <v/>
      </c>
      <c r="F6" s="7">
        <f>SUMIFS(Cashflows!$E$4:$E$128,Cashflows!$B$4:$B$128,$A6,Cashflows!$D$4:$D$128,"distribution",Cashflows!$C$4:$C$128,"&lt;="&amp;AsAt)</f>
        <v/>
      </c>
      <c r="G6" s="7">
        <f>INDEX(NAV_Bridge!$H$4:$H$8,MATCH($A6,NAV_Bridge!$A$4:$A$8,0))</f>
        <v/>
      </c>
      <c r="H6" s="9">
        <f>IFERROR(F6/D6,0)</f>
        <v/>
      </c>
      <c r="I6" s="9">
        <f>IFERROR(G6/D6,0)</f>
        <v/>
      </c>
      <c r="J6" s="9">
        <f>H6+I6</f>
        <v/>
      </c>
      <c r="K6" s="10">
        <f>Funds!F6</f>
        <v/>
      </c>
      <c r="L6" s="11">
        <f>COUNTIFS(Exceptions!$B$4:$B$10,$A6,Exceptions!$H$4:$H$10,"Open")</f>
        <v/>
      </c>
      <c r="M6" s="12">
        <f>IF(L6&lt;=1,"Green",IF(L6&lt;=4,"Amber","Red"))</f>
        <v/>
      </c>
    </row>
    <row r="7">
      <c r="A7" s="6">
        <f>Funds!A7</f>
        <v/>
      </c>
      <c r="B7" s="6">
        <f>Funds!B7</f>
        <v/>
      </c>
      <c r="C7" s="7">
        <f>Funds!E7</f>
        <v/>
      </c>
      <c r="D7" s="7">
        <f>SUMIFS(Cashflows!$E$4:$E$128,Cashflows!$B$4:$B$128,$A7,Cashflows!$D$4:$D$128,"call",Cashflows!$C$4:$C$128,"&lt;="&amp;AsAt)</f>
        <v/>
      </c>
      <c r="E7" s="8">
        <f>IFERROR(D7/C7,0)</f>
        <v/>
      </c>
      <c r="F7" s="7">
        <f>SUMIFS(Cashflows!$E$4:$E$128,Cashflows!$B$4:$B$128,$A7,Cashflows!$D$4:$D$128,"distribution",Cashflows!$C$4:$C$128,"&lt;="&amp;AsAt)</f>
        <v/>
      </c>
      <c r="G7" s="7">
        <f>INDEX(NAV_Bridge!$H$4:$H$8,MATCH($A7,NAV_Bridge!$A$4:$A$8,0))</f>
        <v/>
      </c>
      <c r="H7" s="9">
        <f>IFERROR(F7/D7,0)</f>
        <v/>
      </c>
      <c r="I7" s="9">
        <f>IFERROR(G7/D7,0)</f>
        <v/>
      </c>
      <c r="J7" s="9">
        <f>H7+I7</f>
        <v/>
      </c>
      <c r="K7" s="10">
        <f>Funds!F7</f>
        <v/>
      </c>
      <c r="L7" s="11">
        <f>COUNTIFS(Exceptions!$B$4:$B$10,$A7,Exceptions!$H$4:$H$10,"Open")</f>
        <v/>
      </c>
      <c r="M7" s="12">
        <f>IF(L7&lt;=1,"Green",IF(L7&lt;=4,"Amber","Red"))</f>
        <v/>
      </c>
    </row>
    <row r="8">
      <c r="A8" s="6">
        <f>Funds!A8</f>
        <v/>
      </c>
      <c r="B8" s="6">
        <f>Funds!B8</f>
        <v/>
      </c>
      <c r="C8" s="7">
        <f>Funds!E8</f>
        <v/>
      </c>
      <c r="D8" s="7">
        <f>SUMIFS(Cashflows!$E$4:$E$128,Cashflows!$B$4:$B$128,$A8,Cashflows!$D$4:$D$128,"call",Cashflows!$C$4:$C$128,"&lt;="&amp;AsAt)</f>
        <v/>
      </c>
      <c r="E8" s="8">
        <f>IFERROR(D8/C8,0)</f>
        <v/>
      </c>
      <c r="F8" s="7">
        <f>SUMIFS(Cashflows!$E$4:$E$128,Cashflows!$B$4:$B$128,$A8,Cashflows!$D$4:$D$128,"distribution",Cashflows!$C$4:$C$128,"&lt;="&amp;AsAt)</f>
        <v/>
      </c>
      <c r="G8" s="7">
        <f>INDEX(NAV_Bridge!$H$4:$H$8,MATCH($A8,NAV_Bridge!$A$4:$A$8,0))</f>
        <v/>
      </c>
      <c r="H8" s="9">
        <f>IFERROR(F8/D8,0)</f>
        <v/>
      </c>
      <c r="I8" s="9">
        <f>IFERROR(G8/D8,0)</f>
        <v/>
      </c>
      <c r="J8" s="9">
        <f>H8+I8</f>
        <v/>
      </c>
      <c r="K8" s="10">
        <f>Funds!F8</f>
        <v/>
      </c>
      <c r="L8" s="11">
        <f>COUNTIFS(Exceptions!$B$4:$B$10,$A8,Exceptions!$H$4:$H$10,"Open")</f>
        <v/>
      </c>
      <c r="M8" s="12">
        <f>IF(L8&lt;=1,"Green",IF(L8&lt;=4,"Amber","Red"))</f>
        <v/>
      </c>
    </row>
    <row r="9">
      <c r="A9" s="13" t="inlineStr">
        <is>
          <t>Portfolio</t>
        </is>
      </c>
      <c r="B9" s="14" t="n"/>
      <c r="C9" s="15">
        <f>SUM(C4:C8)</f>
        <v/>
      </c>
      <c r="D9" s="15">
        <f>SUM(D4:D8)</f>
        <v/>
      </c>
      <c r="E9" s="16">
        <f>IFERROR(D9/C9,0)</f>
        <v/>
      </c>
      <c r="F9" s="15">
        <f>SUM(F4:F8)</f>
        <v/>
      </c>
      <c r="G9" s="15">
        <f>SUM(G4:G8)</f>
        <v/>
      </c>
      <c r="H9" s="17">
        <f>IFERROR(F9/D9,0)</f>
        <v/>
      </c>
      <c r="I9" s="17">
        <f>IFERROR(G9/D9,0)</f>
        <v/>
      </c>
      <c r="J9" s="17">
        <f>H9+I9</f>
        <v/>
      </c>
      <c r="K9" s="16">
        <f>IFERROR(SUMPRODUCT(K4:K8,G4:G8)/G9,0)</f>
        <v/>
      </c>
      <c r="L9" s="18">
        <f>SUM(L4:L8)</f>
        <v/>
      </c>
      <c r="M9" s="13">
        <f>COUNTIF(M4:M8,"&lt;&gt;Green")&amp;" not Green"</f>
        <v/>
      </c>
    </row>
    <row r="10">
      <c r="K10" s="19" t="inlineStr">
        <is>
          <t>NAV-weighted</t>
        </is>
      </c>
    </row>
    <row r="12">
      <c r="B12" s="2" t="inlineStr">
        <is>
          <t>Uncalled commitments ($m)</t>
        </is>
      </c>
      <c r="D12" s="20">
        <f>C9-D9</f>
        <v/>
      </c>
    </row>
    <row r="13">
      <c r="B13" s="2" t="inlineStr">
        <is>
          <t>QoQ NAV change</t>
        </is>
      </c>
      <c r="D13" s="10">
        <f>IFERROR(G9/NAV_Bridge!B9-1,0)</f>
        <v/>
      </c>
    </row>
    <row r="14">
      <c r="B14" s="2" t="inlineStr">
        <is>
          <t>Open exceptions (log)</t>
        </is>
      </c>
      <c r="D14" s="11">
        <f>COUNTIF(Exceptions!H4:H10,"Open")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6" customWidth="1" min="3" max="3"/>
    <col width="9" customWidth="1" min="4" max="4"/>
    <col width="15" customWidth="1" min="5" max="5"/>
    <col width="10" customWidth="1" min="6" max="6"/>
  </cols>
  <sheetData>
    <row r="1">
      <c r="A1" s="1" t="inlineStr">
        <is>
          <t>Fund master (inputs)</t>
        </is>
      </c>
    </row>
    <row r="3" ht="30" customHeight="1">
      <c r="A3" s="5" t="inlineStr">
        <is>
          <t>Fund ID</t>
        </is>
      </c>
      <c r="B3" s="5" t="inlineStr">
        <is>
          <t>Fund</t>
        </is>
      </c>
      <c r="C3" s="5" t="inlineStr">
        <is>
          <t>Strategy</t>
        </is>
      </c>
      <c r="D3" s="5" t="inlineStr">
        <is>
          <t>Vintage</t>
        </is>
      </c>
      <c r="E3" s="5" t="inlineStr">
        <is>
          <t>Commitment ($m)</t>
        </is>
      </c>
      <c r="F3" s="5" t="inlineStr">
        <is>
          <t>Net IRR</t>
        </is>
      </c>
    </row>
    <row r="4">
      <c r="A4" s="21" t="inlineStr">
        <is>
          <t>F01</t>
        </is>
      </c>
      <c r="B4" s="21" t="inlineStr">
        <is>
          <t>PA PE Buyout Fund III</t>
        </is>
      </c>
      <c r="C4" s="21" t="inlineStr">
        <is>
          <t>Buyout</t>
        </is>
      </c>
      <c r="D4" s="21" t="inlineStr">
        <is>
          <t>2019</t>
        </is>
      </c>
      <c r="E4" s="22" t="n">
        <v>450</v>
      </c>
      <c r="F4" s="23" t="n">
        <v>0.162</v>
      </c>
    </row>
    <row r="5">
      <c r="A5" s="21" t="inlineStr">
        <is>
          <t>F02</t>
        </is>
      </c>
      <c r="B5" s="21" t="inlineStr">
        <is>
          <t>PA Growth Equity Fund II</t>
        </is>
      </c>
      <c r="C5" s="21" t="inlineStr">
        <is>
          <t>Growth Equity</t>
        </is>
      </c>
      <c r="D5" s="21" t="inlineStr">
        <is>
          <t>2020</t>
        </is>
      </c>
      <c r="E5" s="22" t="n">
        <v>280</v>
      </c>
      <c r="F5" s="23" t="n">
        <v>0.138</v>
      </c>
    </row>
    <row r="6">
      <c r="A6" s="21" t="inlineStr">
        <is>
          <t>F03</t>
        </is>
      </c>
      <c r="B6" s="21" t="inlineStr">
        <is>
          <t>PA Real Estate Debt Fund I</t>
        </is>
      </c>
      <c r="C6" s="21" t="inlineStr">
        <is>
          <t>Private Debt</t>
        </is>
      </c>
      <c r="D6" s="21" t="inlineStr">
        <is>
          <t>2021</t>
        </is>
      </c>
      <c r="E6" s="22" t="n">
        <v>320</v>
      </c>
      <c r="F6" s="23" t="n">
        <v>0.094</v>
      </c>
    </row>
    <row r="7">
      <c r="A7" s="21" t="inlineStr">
        <is>
          <t>F04</t>
        </is>
      </c>
      <c r="B7" s="21" t="inlineStr">
        <is>
          <t>PA Venture Fund IV</t>
        </is>
      </c>
      <c r="C7" s="21" t="inlineStr">
        <is>
          <t>Venture</t>
        </is>
      </c>
      <c r="D7" s="21" t="inlineStr">
        <is>
          <t>2018</t>
        </is>
      </c>
      <c r="E7" s="22" t="n">
        <v>300</v>
      </c>
      <c r="F7" s="23" t="n">
        <v>0.221</v>
      </c>
    </row>
    <row r="8">
      <c r="A8" s="21" t="inlineStr">
        <is>
          <t>F05</t>
        </is>
      </c>
      <c r="B8" s="21" t="inlineStr">
        <is>
          <t>PA Infrastructure Fund I</t>
        </is>
      </c>
      <c r="C8" s="21" t="inlineStr">
        <is>
          <t>Infrastructure</t>
        </is>
      </c>
      <c r="D8" s="21" t="inlineStr">
        <is>
          <t>2022</t>
        </is>
      </c>
      <c r="E8" s="22" t="n">
        <v>500</v>
      </c>
      <c r="F8" s="23" t="n">
        <v>0.08699999999999999</v>
      </c>
    </row>
    <row r="10">
      <c r="A10" s="19" t="inlineStr">
        <is>
          <t>Net IRR is a reported input (needs dated cash flows plus NAV for XIRR); all multiples are derived on Metrics.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Cash flows — cleaned (pipeline.py output)</t>
        </is>
      </c>
    </row>
    <row r="3" ht="30" customHeight="1">
      <c r="A3" s="5" t="inlineStr">
        <is>
          <t>Txn ref</t>
        </is>
      </c>
      <c r="B3" s="5" t="inlineStr">
        <is>
          <t>Fund ID</t>
        </is>
      </c>
      <c r="C3" s="5" t="inlineStr">
        <is>
          <t>Value date</t>
        </is>
      </c>
      <c r="D3" s="5" t="inlineStr">
        <is>
          <t>Type</t>
        </is>
      </c>
      <c r="E3" s="5" t="inlineStr">
        <is>
          <t>Amount ($m)</t>
        </is>
      </c>
    </row>
    <row r="4">
      <c r="A4" s="21" t="inlineStr">
        <is>
          <t>TX10000</t>
        </is>
      </c>
      <c r="B4" s="21" t="inlineStr">
        <is>
          <t>F04</t>
        </is>
      </c>
      <c r="C4" s="24" t="n">
        <v>43190</v>
      </c>
      <c r="D4" s="21" t="inlineStr">
        <is>
          <t>call</t>
        </is>
      </c>
      <c r="E4" s="22" t="n">
        <v>64.7</v>
      </c>
    </row>
    <row r="5">
      <c r="A5" s="21" t="inlineStr">
        <is>
          <t>TX10001</t>
        </is>
      </c>
      <c r="B5" s="21" t="inlineStr">
        <is>
          <t>F01</t>
        </is>
      </c>
      <c r="C5" s="24" t="n">
        <v>43555</v>
      </c>
      <c r="D5" s="21" t="inlineStr">
        <is>
          <t>call</t>
        </is>
      </c>
      <c r="E5" s="22" t="n">
        <v>82.7</v>
      </c>
    </row>
    <row r="6">
      <c r="A6" s="21" t="inlineStr">
        <is>
          <t>TX10002</t>
        </is>
      </c>
      <c r="B6" s="21" t="inlineStr">
        <is>
          <t>F04</t>
        </is>
      </c>
      <c r="C6" s="24" t="n">
        <v>43555</v>
      </c>
      <c r="D6" s="21" t="inlineStr">
        <is>
          <t>call</t>
        </is>
      </c>
      <c r="E6" s="22" t="n">
        <v>51.5</v>
      </c>
    </row>
    <row r="7">
      <c r="A7" s="21" t="inlineStr">
        <is>
          <t>TX10003</t>
        </is>
      </c>
      <c r="B7" s="21" t="inlineStr">
        <is>
          <t>F01</t>
        </is>
      </c>
      <c r="C7" s="24" t="n">
        <v>43830</v>
      </c>
      <c r="D7" s="21" t="inlineStr">
        <is>
          <t>call</t>
        </is>
      </c>
      <c r="E7" s="22" t="n">
        <v>65.90000000000001</v>
      </c>
    </row>
    <row r="8">
      <c r="A8" s="21" t="inlineStr">
        <is>
          <t>TX10004</t>
        </is>
      </c>
      <c r="B8" s="21" t="inlineStr">
        <is>
          <t>F02</t>
        </is>
      </c>
      <c r="C8" s="24" t="n">
        <v>43921</v>
      </c>
      <c r="D8" s="21" t="inlineStr">
        <is>
          <t>call</t>
        </is>
      </c>
      <c r="E8" s="22" t="n">
        <v>33.5</v>
      </c>
    </row>
    <row r="9">
      <c r="A9" s="21" t="inlineStr">
        <is>
          <t>TX10005</t>
        </is>
      </c>
      <c r="B9" s="21" t="inlineStr">
        <is>
          <t>F04</t>
        </is>
      </c>
      <c r="C9" s="24" t="n">
        <v>43921</v>
      </c>
      <c r="D9" s="21" t="inlineStr">
        <is>
          <t>call</t>
        </is>
      </c>
      <c r="E9" s="22" t="n">
        <v>46.3</v>
      </c>
    </row>
    <row r="10">
      <c r="A10" s="21" t="inlineStr">
        <is>
          <t>TX10006</t>
        </is>
      </c>
      <c r="B10" s="21" t="inlineStr">
        <is>
          <t>F01</t>
        </is>
      </c>
      <c r="C10" s="24" t="n">
        <v>44104</v>
      </c>
      <c r="D10" s="21" t="inlineStr">
        <is>
          <t>call</t>
        </is>
      </c>
      <c r="E10" s="22" t="n">
        <v>59.3</v>
      </c>
    </row>
    <row r="11">
      <c r="A11" s="21" t="inlineStr">
        <is>
          <t>TX10007</t>
        </is>
      </c>
      <c r="B11" s="21" t="inlineStr">
        <is>
          <t>F02</t>
        </is>
      </c>
      <c r="C11" s="24" t="n">
        <v>44196</v>
      </c>
      <c r="D11" s="21" t="inlineStr">
        <is>
          <t>call</t>
        </is>
      </c>
      <c r="E11" s="22" t="n">
        <v>26.6</v>
      </c>
    </row>
    <row r="12">
      <c r="A12" s="21" t="inlineStr">
        <is>
          <t>TX10008</t>
        </is>
      </c>
      <c r="B12" s="21" t="inlineStr">
        <is>
          <t>F03</t>
        </is>
      </c>
      <c r="C12" s="24" t="n">
        <v>44286</v>
      </c>
      <c r="D12" s="21" t="inlineStr">
        <is>
          <t>call</t>
        </is>
      </c>
      <c r="E12" s="22" t="n">
        <v>64</v>
      </c>
    </row>
    <row r="13">
      <c r="A13" s="21" t="inlineStr">
        <is>
          <t>TX10009</t>
        </is>
      </c>
      <c r="B13" s="21" t="inlineStr">
        <is>
          <t>F04</t>
        </is>
      </c>
      <c r="C13" s="24" t="n">
        <v>44286</v>
      </c>
      <c r="D13" s="21" t="inlineStr">
        <is>
          <t>call</t>
        </is>
      </c>
      <c r="E13" s="22" t="n">
        <v>38.6</v>
      </c>
    </row>
    <row r="14">
      <c r="A14" s="21" t="inlineStr">
        <is>
          <t>TX10010</t>
        </is>
      </c>
      <c r="B14" s="21" t="inlineStr">
        <is>
          <t>F01</t>
        </is>
      </c>
      <c r="C14" s="24" t="n">
        <v>44377</v>
      </c>
      <c r="D14" s="21" t="inlineStr">
        <is>
          <t>call</t>
        </is>
      </c>
      <c r="E14" s="22" t="n">
        <v>49.4</v>
      </c>
    </row>
    <row r="15">
      <c r="A15" s="21" t="inlineStr">
        <is>
          <t>TX10011</t>
        </is>
      </c>
      <c r="B15" s="21" t="inlineStr">
        <is>
          <t>F02</t>
        </is>
      </c>
      <c r="C15" s="24" t="n">
        <v>44469</v>
      </c>
      <c r="D15" s="21" t="inlineStr">
        <is>
          <t>call</t>
        </is>
      </c>
      <c r="E15" s="22" t="n">
        <v>24</v>
      </c>
    </row>
    <row r="16">
      <c r="A16" s="21" t="inlineStr">
        <is>
          <t>TX10012</t>
        </is>
      </c>
      <c r="B16" s="21" t="inlineStr">
        <is>
          <t>F03</t>
        </is>
      </c>
      <c r="C16" s="24" t="n">
        <v>44469</v>
      </c>
      <c r="D16" s="21" t="inlineStr">
        <is>
          <t>call</t>
        </is>
      </c>
      <c r="E16" s="22" t="n">
        <v>51</v>
      </c>
    </row>
    <row r="17">
      <c r="A17" s="21" t="inlineStr">
        <is>
          <t>TX10013</t>
        </is>
      </c>
      <c r="B17" s="21" t="inlineStr">
        <is>
          <t>F01</t>
        </is>
      </c>
      <c r="C17" s="24" t="n">
        <v>44651</v>
      </c>
      <c r="D17" s="21" t="inlineStr">
        <is>
          <t>call</t>
        </is>
      </c>
      <c r="E17" s="22" t="n">
        <v>39.5</v>
      </c>
    </row>
    <row r="18">
      <c r="A18" s="21" t="inlineStr">
        <is>
          <t>TX10014</t>
        </is>
      </c>
      <c r="B18" s="21" t="inlineStr">
        <is>
          <t>F03</t>
        </is>
      </c>
      <c r="C18" s="24" t="n">
        <v>44651</v>
      </c>
      <c r="D18" s="21" t="inlineStr">
        <is>
          <t>call</t>
        </is>
      </c>
      <c r="E18" s="22" t="n">
        <v>45.9</v>
      </c>
    </row>
    <row r="19">
      <c r="A19" s="21" t="inlineStr">
        <is>
          <t>TX10015</t>
        </is>
      </c>
      <c r="B19" s="21" t="inlineStr">
        <is>
          <t>F04</t>
        </is>
      </c>
      <c r="C19" s="24" t="n">
        <v>44651</v>
      </c>
      <c r="D19" s="21" t="inlineStr">
        <is>
          <t>call</t>
        </is>
      </c>
      <c r="E19" s="22" t="n">
        <v>30.9</v>
      </c>
    </row>
    <row r="20">
      <c r="A20" s="21" t="inlineStr">
        <is>
          <t>TX10016</t>
        </is>
      </c>
      <c r="B20" s="21" t="inlineStr">
        <is>
          <t>F05</t>
        </is>
      </c>
      <c r="C20" s="24" t="n">
        <v>44651</v>
      </c>
      <c r="D20" s="21" t="inlineStr">
        <is>
          <t>call</t>
        </is>
      </c>
      <c r="E20" s="22" t="n">
        <v>21.9</v>
      </c>
    </row>
    <row r="21">
      <c r="A21" s="21" t="inlineStr">
        <is>
          <t>TX10017</t>
        </is>
      </c>
      <c r="B21" s="21" t="inlineStr">
        <is>
          <t>F02</t>
        </is>
      </c>
      <c r="C21" s="24" t="n">
        <v>44742</v>
      </c>
      <c r="D21" s="21" t="inlineStr">
        <is>
          <t>call</t>
        </is>
      </c>
      <c r="E21" s="22" t="n">
        <v>20</v>
      </c>
    </row>
    <row r="22">
      <c r="A22" s="21" t="inlineStr">
        <is>
          <t>TX10018</t>
        </is>
      </c>
      <c r="B22" s="21" t="inlineStr">
        <is>
          <t>F05</t>
        </is>
      </c>
      <c r="C22" s="24" t="n">
        <v>44742</v>
      </c>
      <c r="D22" s="21" t="inlineStr">
        <is>
          <t>call</t>
        </is>
      </c>
      <c r="E22" s="22" t="n">
        <v>17.3</v>
      </c>
    </row>
    <row r="23">
      <c r="A23" s="21" t="inlineStr">
        <is>
          <t>TX10019</t>
        </is>
      </c>
      <c r="B23" s="21" t="inlineStr">
        <is>
          <t>F03</t>
        </is>
      </c>
      <c r="C23" s="24" t="n">
        <v>44834</v>
      </c>
      <c r="D23" s="21" t="inlineStr">
        <is>
          <t>call</t>
        </is>
      </c>
      <c r="E23" s="22" t="n">
        <v>38.2</v>
      </c>
    </row>
    <row r="24">
      <c r="A24" s="21" t="inlineStr">
        <is>
          <t>TX10020</t>
        </is>
      </c>
      <c r="B24" s="21" t="inlineStr">
        <is>
          <t>F05</t>
        </is>
      </c>
      <c r="C24" s="24" t="n">
        <v>44834</v>
      </c>
      <c r="D24" s="21" t="inlineStr">
        <is>
          <t>call</t>
        </is>
      </c>
      <c r="E24" s="22" t="n">
        <v>15.6</v>
      </c>
    </row>
    <row r="25">
      <c r="A25" s="21" t="inlineStr">
        <is>
          <t>TX10021</t>
        </is>
      </c>
      <c r="B25" s="21" t="inlineStr">
        <is>
          <t>F01</t>
        </is>
      </c>
      <c r="C25" s="24" t="n">
        <v>44926</v>
      </c>
      <c r="D25" s="21" t="inlineStr">
        <is>
          <t>call</t>
        </is>
      </c>
      <c r="E25" s="22" t="n">
        <v>32.9</v>
      </c>
    </row>
    <row r="26">
      <c r="A26" s="21" t="inlineStr">
        <is>
          <t>TX10022</t>
        </is>
      </c>
      <c r="B26" s="21" t="inlineStr">
        <is>
          <t>F05</t>
        </is>
      </c>
      <c r="C26" s="24" t="n">
        <v>44926</v>
      </c>
      <c r="D26" s="21" t="inlineStr">
        <is>
          <t>call</t>
        </is>
      </c>
      <c r="E26" s="22" t="n">
        <v>13</v>
      </c>
    </row>
    <row r="27">
      <c r="A27" s="21" t="inlineStr">
        <is>
          <t>TX10023</t>
        </is>
      </c>
      <c r="B27" s="21" t="inlineStr">
        <is>
          <t>F02</t>
        </is>
      </c>
      <c r="C27" s="24" t="n">
        <v>45016</v>
      </c>
      <c r="D27" s="21" t="inlineStr">
        <is>
          <t>call</t>
        </is>
      </c>
      <c r="E27" s="22" t="n">
        <v>16</v>
      </c>
    </row>
    <row r="28">
      <c r="A28" s="21" t="inlineStr">
        <is>
          <t>TX10024</t>
        </is>
      </c>
      <c r="B28" s="21" t="inlineStr">
        <is>
          <t>F03</t>
        </is>
      </c>
      <c r="C28" s="24" t="n">
        <v>45016</v>
      </c>
      <c r="D28" s="21" t="inlineStr">
        <is>
          <t>call</t>
        </is>
      </c>
      <c r="E28" s="22" t="n">
        <v>30.6</v>
      </c>
    </row>
    <row r="29">
      <c r="A29" s="21" t="inlineStr">
        <is>
          <t>TX10025</t>
        </is>
      </c>
      <c r="B29" s="21" t="inlineStr">
        <is>
          <t>F04</t>
        </is>
      </c>
      <c r="C29" s="24" t="n">
        <v>45016</v>
      </c>
      <c r="D29" s="21" t="inlineStr">
        <is>
          <t>call</t>
        </is>
      </c>
      <c r="E29" s="22" t="n">
        <v>25.7</v>
      </c>
    </row>
    <row r="30">
      <c r="A30" s="21" t="inlineStr">
        <is>
          <t>TX10026</t>
        </is>
      </c>
      <c r="B30" s="21" t="inlineStr">
        <is>
          <t>F05</t>
        </is>
      </c>
      <c r="C30" s="24" t="n">
        <v>45016</v>
      </c>
      <c r="D30" s="21" t="inlineStr">
        <is>
          <t>call</t>
        </is>
      </c>
      <c r="E30" s="22" t="n">
        <v>10.4</v>
      </c>
    </row>
    <row r="31">
      <c r="A31" s="21" t="inlineStr">
        <is>
          <t>TX10027</t>
        </is>
      </c>
      <c r="B31" s="21" t="inlineStr">
        <is>
          <t>F05</t>
        </is>
      </c>
      <c r="C31" s="24" t="n">
        <v>45107</v>
      </c>
      <c r="D31" s="21" t="inlineStr">
        <is>
          <t>call</t>
        </is>
      </c>
      <c r="E31" s="22" t="n">
        <v>8.6</v>
      </c>
    </row>
    <row r="32">
      <c r="A32" s="21" t="inlineStr">
        <is>
          <t>TX10028</t>
        </is>
      </c>
      <c r="B32" s="21" t="inlineStr">
        <is>
          <t>F03</t>
        </is>
      </c>
      <c r="C32" s="24" t="n">
        <v>45199</v>
      </c>
      <c r="D32" s="21" t="inlineStr">
        <is>
          <t>call</t>
        </is>
      </c>
      <c r="E32" s="22" t="n">
        <v>25.5</v>
      </c>
    </row>
    <row r="33">
      <c r="A33" s="21" t="inlineStr">
        <is>
          <t>TX10029</t>
        </is>
      </c>
      <c r="B33" s="21" t="inlineStr">
        <is>
          <t>F02</t>
        </is>
      </c>
      <c r="C33" s="24" t="n">
        <v>45291</v>
      </c>
      <c r="D33" s="21" t="inlineStr">
        <is>
          <t>call</t>
        </is>
      </c>
      <c r="E33" s="22" t="n">
        <v>13.3</v>
      </c>
    </row>
    <row r="34">
      <c r="A34" s="21" t="inlineStr">
        <is>
          <t>TX10030</t>
        </is>
      </c>
      <c r="B34" s="21" t="inlineStr">
        <is>
          <t>F01</t>
        </is>
      </c>
      <c r="C34" s="24" t="n">
        <v>45382</v>
      </c>
      <c r="D34" s="21" t="inlineStr">
        <is>
          <t>distribution</t>
        </is>
      </c>
      <c r="E34" s="22" t="n">
        <v>39.4</v>
      </c>
    </row>
    <row r="35">
      <c r="A35" s="21" t="inlineStr">
        <is>
          <t>TX10031</t>
        </is>
      </c>
      <c r="B35" s="21" t="inlineStr">
        <is>
          <t>F02</t>
        </is>
      </c>
      <c r="C35" s="24" t="n">
        <v>45382</v>
      </c>
      <c r="D35" s="21" t="inlineStr">
        <is>
          <t>distribution</t>
        </is>
      </c>
      <c r="E35" s="22" t="n">
        <v>9.800000000000001</v>
      </c>
    </row>
    <row r="36">
      <c r="A36" s="21" t="inlineStr">
        <is>
          <t>TX10032</t>
        </is>
      </c>
      <c r="B36" s="21" t="inlineStr">
        <is>
          <t>F03</t>
        </is>
      </c>
      <c r="C36" s="24" t="n">
        <v>45382</v>
      </c>
      <c r="D36" s="21" t="inlineStr">
        <is>
          <t>distribution</t>
        </is>
      </c>
      <c r="E36" s="22" t="n">
        <v>11.3</v>
      </c>
    </row>
    <row r="37">
      <c r="A37" s="21" t="inlineStr">
        <is>
          <t>TX10033</t>
        </is>
      </c>
      <c r="B37" s="21" t="inlineStr">
        <is>
          <t>F04</t>
        </is>
      </c>
      <c r="C37" s="24" t="n">
        <v>45382</v>
      </c>
      <c r="D37" s="21" t="inlineStr">
        <is>
          <t>distribution</t>
        </is>
      </c>
      <c r="E37" s="22" t="n">
        <v>64.90000000000001</v>
      </c>
    </row>
    <row r="38">
      <c r="A38" s="21" t="inlineStr">
        <is>
          <t>TX10034</t>
        </is>
      </c>
      <c r="B38" s="21" t="inlineStr">
        <is>
          <t>F05</t>
        </is>
      </c>
      <c r="C38" s="24" t="n">
        <v>45382</v>
      </c>
      <c r="D38" s="21" t="inlineStr">
        <is>
          <t>distribution</t>
        </is>
      </c>
      <c r="E38" s="22" t="n">
        <v>2.8</v>
      </c>
    </row>
    <row r="39">
      <c r="A39" s="21" t="inlineStr">
        <is>
          <t>TX10035</t>
        </is>
      </c>
      <c r="B39" s="21" t="inlineStr">
        <is>
          <t>F01</t>
        </is>
      </c>
      <c r="C39" s="24" t="n">
        <v>45473</v>
      </c>
      <c r="D39" s="21" t="inlineStr">
        <is>
          <t>distribution</t>
        </is>
      </c>
      <c r="E39" s="22" t="n">
        <v>23.5</v>
      </c>
    </row>
    <row r="40">
      <c r="A40" s="21" t="inlineStr">
        <is>
          <t>TX10036</t>
        </is>
      </c>
      <c r="B40" s="21" t="inlineStr">
        <is>
          <t>F02</t>
        </is>
      </c>
      <c r="C40" s="24" t="n">
        <v>45473</v>
      </c>
      <c r="D40" s="21" t="inlineStr">
        <is>
          <t>distribution</t>
        </is>
      </c>
      <c r="E40" s="22" t="n">
        <v>5.8</v>
      </c>
    </row>
    <row r="41">
      <c r="A41" s="21" t="inlineStr">
        <is>
          <t>TX10037</t>
        </is>
      </c>
      <c r="B41" s="21" t="inlineStr">
        <is>
          <t>F03</t>
        </is>
      </c>
      <c r="C41" s="24" t="n">
        <v>45473</v>
      </c>
      <c r="D41" s="21" t="inlineStr">
        <is>
          <t>distribution</t>
        </is>
      </c>
      <c r="E41" s="22" t="n">
        <v>6.7</v>
      </c>
    </row>
    <row r="42">
      <c r="A42" s="21" t="inlineStr">
        <is>
          <t>TX10038</t>
        </is>
      </c>
      <c r="B42" s="21" t="inlineStr">
        <is>
          <t>F04</t>
        </is>
      </c>
      <c r="C42" s="24" t="n">
        <v>45473</v>
      </c>
      <c r="D42" s="21" t="inlineStr">
        <is>
          <t>distribution</t>
        </is>
      </c>
      <c r="E42" s="22" t="n">
        <v>38.9</v>
      </c>
    </row>
    <row r="43">
      <c r="A43" s="21" t="inlineStr">
        <is>
          <t>TX10039</t>
        </is>
      </c>
      <c r="B43" s="21" t="inlineStr">
        <is>
          <t>F05</t>
        </is>
      </c>
      <c r="C43" s="24" t="n">
        <v>45473</v>
      </c>
      <c r="D43" s="21" t="inlineStr">
        <is>
          <t>distribution</t>
        </is>
      </c>
      <c r="E43" s="22" t="n">
        <v>1.6</v>
      </c>
    </row>
    <row r="44">
      <c r="A44" s="21" t="inlineStr">
        <is>
          <t>TX10040</t>
        </is>
      </c>
      <c r="B44" s="21" t="inlineStr">
        <is>
          <t>F01</t>
        </is>
      </c>
      <c r="C44" s="24" t="n">
        <v>45565</v>
      </c>
      <c r="D44" s="21" t="inlineStr">
        <is>
          <t>distribution</t>
        </is>
      </c>
      <c r="E44" s="22" t="n">
        <v>15.7</v>
      </c>
    </row>
    <row r="45">
      <c r="A45" s="21" t="inlineStr">
        <is>
          <t>TX10041</t>
        </is>
      </c>
      <c r="B45" s="21" t="inlineStr">
        <is>
          <t>F02</t>
        </is>
      </c>
      <c r="C45" s="24" t="n">
        <v>45565</v>
      </c>
      <c r="D45" s="21" t="inlineStr">
        <is>
          <t>distribution</t>
        </is>
      </c>
      <c r="E45" s="22" t="n">
        <v>3.9</v>
      </c>
    </row>
    <row r="46">
      <c r="A46" s="21" t="inlineStr">
        <is>
          <t>TX10042</t>
        </is>
      </c>
      <c r="B46" s="21" t="inlineStr">
        <is>
          <t>F03</t>
        </is>
      </c>
      <c r="C46" s="24" t="n">
        <v>45565</v>
      </c>
      <c r="D46" s="21" t="inlineStr">
        <is>
          <t>distribution</t>
        </is>
      </c>
      <c r="E46" s="22" t="n">
        <v>4.4</v>
      </c>
    </row>
    <row r="47">
      <c r="A47" s="21" t="inlineStr">
        <is>
          <t>TX10043</t>
        </is>
      </c>
      <c r="B47" s="21" t="inlineStr">
        <is>
          <t>F04</t>
        </is>
      </c>
      <c r="C47" s="24" t="n">
        <v>45565</v>
      </c>
      <c r="D47" s="21" t="inlineStr">
        <is>
          <t>distribution</t>
        </is>
      </c>
      <c r="E47" s="22" t="n">
        <v>25.9</v>
      </c>
    </row>
    <row r="48">
      <c r="A48" s="21" t="inlineStr">
        <is>
          <t>TX10044</t>
        </is>
      </c>
      <c r="B48" s="21" t="inlineStr">
        <is>
          <t>F05</t>
        </is>
      </c>
      <c r="C48" s="24" t="n">
        <v>45565</v>
      </c>
      <c r="D48" s="21" t="inlineStr">
        <is>
          <t>distribution</t>
        </is>
      </c>
      <c r="E48" s="22" t="n">
        <v>1</v>
      </c>
    </row>
    <row r="49">
      <c r="A49" s="21" t="inlineStr">
        <is>
          <t>TX10045</t>
        </is>
      </c>
      <c r="B49" s="21" t="inlineStr">
        <is>
          <t>F01</t>
        </is>
      </c>
      <c r="C49" s="24" t="n">
        <v>45657</v>
      </c>
      <c r="D49" s="21" t="inlineStr">
        <is>
          <t>call</t>
        </is>
      </c>
      <c r="E49" s="22" t="n">
        <v>6.3</v>
      </c>
    </row>
    <row r="50">
      <c r="A50" s="21" t="inlineStr">
        <is>
          <t>TX10046</t>
        </is>
      </c>
      <c r="B50" s="21" t="inlineStr">
        <is>
          <t>F01</t>
        </is>
      </c>
      <c r="C50" s="24" t="n">
        <v>45657</v>
      </c>
      <c r="D50" s="21" t="inlineStr">
        <is>
          <t>distribution</t>
        </is>
      </c>
      <c r="E50" s="22" t="n">
        <v>8.4</v>
      </c>
    </row>
    <row r="51">
      <c r="A51" s="21" t="inlineStr">
        <is>
          <t>TX10047</t>
        </is>
      </c>
      <c r="B51" s="21" t="inlineStr">
        <is>
          <t>F02</t>
        </is>
      </c>
      <c r="C51" s="24" t="n">
        <v>45657</v>
      </c>
      <c r="D51" s="21" t="inlineStr">
        <is>
          <t>call</t>
        </is>
      </c>
      <c r="E51" s="22" t="n">
        <v>8.4</v>
      </c>
    </row>
    <row r="52">
      <c r="A52" s="21" t="inlineStr">
        <is>
          <t>TX10048</t>
        </is>
      </c>
      <c r="B52" s="21" t="inlineStr">
        <is>
          <t>F02</t>
        </is>
      </c>
      <c r="C52" s="24" t="n">
        <v>45657</v>
      </c>
      <c r="D52" s="21" t="inlineStr">
        <is>
          <t>distribution</t>
        </is>
      </c>
      <c r="E52" s="22" t="n">
        <v>2.8</v>
      </c>
    </row>
    <row r="53">
      <c r="A53" s="21" t="inlineStr">
        <is>
          <t>TX10049</t>
        </is>
      </c>
      <c r="B53" s="21" t="inlineStr">
        <is>
          <t>F03</t>
        </is>
      </c>
      <c r="C53" s="24" t="n">
        <v>45657</v>
      </c>
      <c r="D53" s="21" t="inlineStr">
        <is>
          <t>call</t>
        </is>
      </c>
      <c r="E53" s="22" t="n">
        <v>5</v>
      </c>
    </row>
    <row r="54">
      <c r="A54" s="21" t="inlineStr">
        <is>
          <t>TX10050</t>
        </is>
      </c>
      <c r="B54" s="21" t="inlineStr">
        <is>
          <t>F03</t>
        </is>
      </c>
      <c r="C54" s="24" t="n">
        <v>45657</v>
      </c>
      <c r="D54" s="21" t="inlineStr">
        <is>
          <t>distribution</t>
        </is>
      </c>
      <c r="E54" s="22" t="n">
        <v>3.3</v>
      </c>
    </row>
    <row r="55">
      <c r="A55" s="21" t="inlineStr">
        <is>
          <t>TX10051</t>
        </is>
      </c>
      <c r="B55" s="21" t="inlineStr">
        <is>
          <t>F04</t>
        </is>
      </c>
      <c r="C55" s="24" t="n">
        <v>45657</v>
      </c>
      <c r="D55" s="21" t="inlineStr">
        <is>
          <t>call</t>
        </is>
      </c>
      <c r="E55" s="22" t="n">
        <v>3.3</v>
      </c>
    </row>
    <row r="56">
      <c r="A56" s="21" t="inlineStr">
        <is>
          <t>TX10052</t>
        </is>
      </c>
      <c r="B56" s="21" t="inlineStr">
        <is>
          <t>F04</t>
        </is>
      </c>
      <c r="C56" s="24" t="n">
        <v>45657</v>
      </c>
      <c r="D56" s="21" t="inlineStr">
        <is>
          <t>distribution</t>
        </is>
      </c>
      <c r="E56" s="22" t="n">
        <v>12.7</v>
      </c>
    </row>
    <row r="57">
      <c r="A57" s="21" t="inlineStr">
        <is>
          <t>TX10053</t>
        </is>
      </c>
      <c r="B57" s="21" t="inlineStr">
        <is>
          <t>F05</t>
        </is>
      </c>
      <c r="C57" s="24" t="n">
        <v>45657</v>
      </c>
      <c r="D57" s="21" t="inlineStr">
        <is>
          <t>call</t>
        </is>
      </c>
      <c r="E57" s="22" t="n">
        <v>19</v>
      </c>
    </row>
    <row r="58">
      <c r="A58" s="21" t="inlineStr">
        <is>
          <t>TX10054</t>
        </is>
      </c>
      <c r="B58" s="21" t="inlineStr">
        <is>
          <t>F05</t>
        </is>
      </c>
      <c r="C58" s="24" t="n">
        <v>45657</v>
      </c>
      <c r="D58" s="21" t="inlineStr">
        <is>
          <t>distribution</t>
        </is>
      </c>
      <c r="E58" s="22" t="n">
        <v>0.8</v>
      </c>
    </row>
    <row r="59">
      <c r="A59" s="21" t="inlineStr">
        <is>
          <t>TX10055</t>
        </is>
      </c>
      <c r="B59" s="21" t="inlineStr">
        <is>
          <t>F01</t>
        </is>
      </c>
      <c r="C59" s="24" t="n">
        <v>45747</v>
      </c>
      <c r="D59" s="21" t="inlineStr">
        <is>
          <t>call</t>
        </is>
      </c>
      <c r="E59" s="22" t="n">
        <v>5.7</v>
      </c>
    </row>
    <row r="60">
      <c r="A60" s="21" t="inlineStr">
        <is>
          <t>TX10056</t>
        </is>
      </c>
      <c r="B60" s="21" t="inlineStr">
        <is>
          <t>F01</t>
        </is>
      </c>
      <c r="C60" s="24" t="n">
        <v>45747</v>
      </c>
      <c r="D60" s="21" t="inlineStr">
        <is>
          <t>distribution</t>
        </is>
      </c>
      <c r="E60" s="22" t="n">
        <v>10.5</v>
      </c>
    </row>
    <row r="61">
      <c r="A61" s="21" t="inlineStr">
        <is>
          <t>TX10057</t>
        </is>
      </c>
      <c r="B61" s="21" t="inlineStr">
        <is>
          <t>F02</t>
        </is>
      </c>
      <c r="C61" s="24" t="n">
        <v>45747</v>
      </c>
      <c r="D61" s="21" t="inlineStr">
        <is>
          <t>call</t>
        </is>
      </c>
      <c r="E61" s="22" t="n">
        <v>7.6</v>
      </c>
    </row>
    <row r="62">
      <c r="A62" s="21" t="inlineStr">
        <is>
          <t>TX10058</t>
        </is>
      </c>
      <c r="B62" s="21" t="inlineStr">
        <is>
          <t>F02</t>
        </is>
      </c>
      <c r="C62" s="24" t="n">
        <v>45747</v>
      </c>
      <c r="D62" s="21" t="inlineStr">
        <is>
          <t>distribution</t>
        </is>
      </c>
      <c r="E62" s="22" t="n">
        <v>3.5</v>
      </c>
    </row>
    <row r="63">
      <c r="A63" s="21" t="inlineStr">
        <is>
          <t>TX10059</t>
        </is>
      </c>
      <c r="B63" s="21" t="inlineStr">
        <is>
          <t>F03</t>
        </is>
      </c>
      <c r="C63" s="24" t="n">
        <v>45747</v>
      </c>
      <c r="D63" s="21" t="inlineStr">
        <is>
          <t>call</t>
        </is>
      </c>
      <c r="E63" s="22" t="n">
        <v>4.5</v>
      </c>
    </row>
    <row r="64">
      <c r="A64" s="21" t="inlineStr">
        <is>
          <t>TX10060</t>
        </is>
      </c>
      <c r="B64" s="21" t="inlineStr">
        <is>
          <t>F03</t>
        </is>
      </c>
      <c r="C64" s="24" t="n">
        <v>45747</v>
      </c>
      <c r="D64" s="21" t="inlineStr">
        <is>
          <t>distribution</t>
        </is>
      </c>
      <c r="E64" s="22" t="n">
        <v>4.2</v>
      </c>
    </row>
    <row r="65">
      <c r="A65" s="21" t="inlineStr">
        <is>
          <t>TX10061</t>
        </is>
      </c>
      <c r="B65" s="21" t="inlineStr">
        <is>
          <t>F04</t>
        </is>
      </c>
      <c r="C65" s="24" t="n">
        <v>45747</v>
      </c>
      <c r="D65" s="21" t="inlineStr">
        <is>
          <t>call</t>
        </is>
      </c>
      <c r="E65" s="22" t="n">
        <v>3</v>
      </c>
    </row>
    <row r="66">
      <c r="A66" s="21" t="inlineStr">
        <is>
          <t>TX10062</t>
        </is>
      </c>
      <c r="B66" s="21" t="inlineStr">
        <is>
          <t>F04</t>
        </is>
      </c>
      <c r="C66" s="24" t="n">
        <v>45747</v>
      </c>
      <c r="D66" s="21" t="inlineStr">
        <is>
          <t>distribution</t>
        </is>
      </c>
      <c r="E66" s="22" t="n">
        <v>15.8</v>
      </c>
    </row>
    <row r="67">
      <c r="A67" s="21" t="inlineStr">
        <is>
          <t>TX10063</t>
        </is>
      </c>
      <c r="B67" s="21" t="inlineStr">
        <is>
          <t>F05</t>
        </is>
      </c>
      <c r="C67" s="24" t="n">
        <v>45747</v>
      </c>
      <c r="D67" s="21" t="inlineStr">
        <is>
          <t>call</t>
        </is>
      </c>
      <c r="E67" s="22" t="n">
        <v>17.2</v>
      </c>
    </row>
    <row r="68">
      <c r="A68" s="21" t="inlineStr">
        <is>
          <t>TX10064</t>
        </is>
      </c>
      <c r="B68" s="21" t="inlineStr">
        <is>
          <t>F05</t>
        </is>
      </c>
      <c r="C68" s="24" t="n">
        <v>45747</v>
      </c>
      <c r="D68" s="21" t="inlineStr">
        <is>
          <t>distribution</t>
        </is>
      </c>
      <c r="E68" s="22" t="n">
        <v>1</v>
      </c>
    </row>
    <row r="69">
      <c r="A69" s="21" t="inlineStr">
        <is>
          <t>TX10065</t>
        </is>
      </c>
      <c r="B69" s="21" t="inlineStr">
        <is>
          <t>F01</t>
        </is>
      </c>
      <c r="C69" s="24" t="n">
        <v>45838</v>
      </c>
      <c r="D69" s="21" t="inlineStr">
        <is>
          <t>call</t>
        </is>
      </c>
      <c r="E69" s="22" t="n">
        <v>8.199999999999999</v>
      </c>
    </row>
    <row r="70">
      <c r="A70" s="21" t="inlineStr">
        <is>
          <t>TX10066</t>
        </is>
      </c>
      <c r="B70" s="21" t="inlineStr">
        <is>
          <t>F01</t>
        </is>
      </c>
      <c r="C70" s="24" t="n">
        <v>45838</v>
      </c>
      <c r="D70" s="21" t="inlineStr">
        <is>
          <t>distribution</t>
        </is>
      </c>
      <c r="E70" s="22" t="n">
        <v>6.6</v>
      </c>
    </row>
    <row r="71">
      <c r="A71" s="21" t="inlineStr">
        <is>
          <t>TX10067</t>
        </is>
      </c>
      <c r="B71" s="21" t="inlineStr">
        <is>
          <t>F02</t>
        </is>
      </c>
      <c r="C71" s="24" t="n">
        <v>45838</v>
      </c>
      <c r="D71" s="21" t="inlineStr">
        <is>
          <t>call</t>
        </is>
      </c>
      <c r="E71" s="22" t="n">
        <v>11</v>
      </c>
    </row>
    <row r="72">
      <c r="A72" s="21" t="inlineStr">
        <is>
          <t>TX10068</t>
        </is>
      </c>
      <c r="B72" s="21" t="inlineStr">
        <is>
          <t>F02</t>
        </is>
      </c>
      <c r="C72" s="24" t="n">
        <v>45838</v>
      </c>
      <c r="D72" s="21" t="inlineStr">
        <is>
          <t>distribution</t>
        </is>
      </c>
      <c r="E72" s="22" t="n">
        <v>2.2</v>
      </c>
    </row>
    <row r="73">
      <c r="A73" s="21" t="inlineStr">
        <is>
          <t>TX10069</t>
        </is>
      </c>
      <c r="B73" s="21" t="inlineStr">
        <is>
          <t>F03</t>
        </is>
      </c>
      <c r="C73" s="24" t="n">
        <v>45838</v>
      </c>
      <c r="D73" s="21" t="inlineStr">
        <is>
          <t>call</t>
        </is>
      </c>
      <c r="E73" s="22" t="n">
        <v>6.6</v>
      </c>
    </row>
    <row r="74">
      <c r="A74" s="21" t="inlineStr">
        <is>
          <t>TX10070</t>
        </is>
      </c>
      <c r="B74" s="21" t="inlineStr">
        <is>
          <t>F03</t>
        </is>
      </c>
      <c r="C74" s="24" t="n">
        <v>45838</v>
      </c>
      <c r="D74" s="21" t="inlineStr">
        <is>
          <t>distribution</t>
        </is>
      </c>
      <c r="E74" s="22" t="n">
        <v>2.6</v>
      </c>
    </row>
    <row r="75">
      <c r="A75" s="21" t="inlineStr">
        <is>
          <t>TX10071</t>
        </is>
      </c>
      <c r="B75" s="21" t="inlineStr">
        <is>
          <t>F04</t>
        </is>
      </c>
      <c r="C75" s="24" t="n">
        <v>45838</v>
      </c>
      <c r="D75" s="21" t="inlineStr">
        <is>
          <t>call</t>
        </is>
      </c>
      <c r="E75" s="22" t="n">
        <v>4.4</v>
      </c>
    </row>
    <row r="76">
      <c r="A76" s="21" t="inlineStr">
        <is>
          <t>TX10072</t>
        </is>
      </c>
      <c r="B76" s="21" t="inlineStr">
        <is>
          <t>F04</t>
        </is>
      </c>
      <c r="C76" s="24" t="n">
        <v>45838</v>
      </c>
      <c r="D76" s="21" t="inlineStr">
        <is>
          <t>distribution</t>
        </is>
      </c>
      <c r="E76" s="22" t="n">
        <v>10</v>
      </c>
    </row>
    <row r="77">
      <c r="A77" s="21" t="inlineStr">
        <is>
          <t>TX10073</t>
        </is>
      </c>
      <c r="B77" s="21" t="inlineStr">
        <is>
          <t>F05</t>
        </is>
      </c>
      <c r="C77" s="24" t="n">
        <v>45838</v>
      </c>
      <c r="D77" s="21" t="inlineStr">
        <is>
          <t>call</t>
        </is>
      </c>
      <c r="E77" s="22" t="n">
        <v>24.8</v>
      </c>
    </row>
    <row r="78">
      <c r="A78" s="21" t="inlineStr">
        <is>
          <t>TX10074</t>
        </is>
      </c>
      <c r="B78" s="21" t="inlineStr">
        <is>
          <t>F05</t>
        </is>
      </c>
      <c r="C78" s="24" t="n">
        <v>45838</v>
      </c>
      <c r="D78" s="21" t="inlineStr">
        <is>
          <t>distribution</t>
        </is>
      </c>
      <c r="E78" s="22" t="n">
        <v>0.6</v>
      </c>
    </row>
    <row r="79">
      <c r="A79" s="21" t="inlineStr">
        <is>
          <t>TX10075</t>
        </is>
      </c>
      <c r="B79" s="21" t="inlineStr">
        <is>
          <t>F01</t>
        </is>
      </c>
      <c r="C79" s="24" t="n">
        <v>45930</v>
      </c>
      <c r="D79" s="21" t="inlineStr">
        <is>
          <t>call</t>
        </is>
      </c>
      <c r="E79" s="22" t="n">
        <v>9.1</v>
      </c>
    </row>
    <row r="80">
      <c r="A80" s="21" t="inlineStr">
        <is>
          <t>TX10076</t>
        </is>
      </c>
      <c r="B80" s="21" t="inlineStr">
        <is>
          <t>F01</t>
        </is>
      </c>
      <c r="C80" s="24" t="n">
        <v>45930</v>
      </c>
      <c r="D80" s="21" t="inlineStr">
        <is>
          <t>distribution</t>
        </is>
      </c>
      <c r="E80" s="22" t="n">
        <v>12.3</v>
      </c>
    </row>
    <row r="81">
      <c r="A81" s="21" t="inlineStr">
        <is>
          <t>TX10077</t>
        </is>
      </c>
      <c r="B81" s="21" t="inlineStr">
        <is>
          <t>F02</t>
        </is>
      </c>
      <c r="C81" s="24" t="n">
        <v>45930</v>
      </c>
      <c r="D81" s="21" t="inlineStr">
        <is>
          <t>call</t>
        </is>
      </c>
      <c r="E81" s="22" t="n">
        <v>12.2</v>
      </c>
    </row>
    <row r="82">
      <c r="A82" s="21" t="inlineStr">
        <is>
          <t>TX10078</t>
        </is>
      </c>
      <c r="B82" s="21" t="inlineStr">
        <is>
          <t>F02</t>
        </is>
      </c>
      <c r="C82" s="24" t="n">
        <v>45930</v>
      </c>
      <c r="D82" s="21" t="inlineStr">
        <is>
          <t>distribution</t>
        </is>
      </c>
      <c r="E82" s="22" t="n">
        <v>4.1</v>
      </c>
    </row>
    <row r="83">
      <c r="A83" s="21" t="inlineStr">
        <is>
          <t>TX10079</t>
        </is>
      </c>
      <c r="B83" s="21" t="inlineStr">
        <is>
          <t>F03</t>
        </is>
      </c>
      <c r="C83" s="24" t="n">
        <v>45930</v>
      </c>
      <c r="D83" s="21" t="inlineStr">
        <is>
          <t>call</t>
        </is>
      </c>
      <c r="E83" s="22" t="n">
        <v>7.3</v>
      </c>
    </row>
    <row r="84">
      <c r="A84" s="21" t="inlineStr">
        <is>
          <t>TX10080</t>
        </is>
      </c>
      <c r="B84" s="21" t="inlineStr">
        <is>
          <t>F03</t>
        </is>
      </c>
      <c r="C84" s="24" t="n">
        <v>45930</v>
      </c>
      <c r="D84" s="21" t="inlineStr">
        <is>
          <t>distribution</t>
        </is>
      </c>
      <c r="E84" s="22" t="n">
        <v>4.9</v>
      </c>
    </row>
    <row r="85">
      <c r="A85" s="21" t="inlineStr">
        <is>
          <t>TX10081</t>
        </is>
      </c>
      <c r="B85" s="21" t="inlineStr">
        <is>
          <t>F04</t>
        </is>
      </c>
      <c r="C85" s="24" t="n">
        <v>45930</v>
      </c>
      <c r="D85" s="21" t="inlineStr">
        <is>
          <t>call</t>
        </is>
      </c>
      <c r="E85" s="22" t="n">
        <v>4.8</v>
      </c>
    </row>
    <row r="86">
      <c r="A86" s="21" t="inlineStr">
        <is>
          <t>TX10082</t>
        </is>
      </c>
      <c r="B86" s="21" t="inlineStr">
        <is>
          <t>F04</t>
        </is>
      </c>
      <c r="C86" s="24" t="n">
        <v>45930</v>
      </c>
      <c r="D86" s="21" t="inlineStr">
        <is>
          <t>distribution</t>
        </is>
      </c>
      <c r="E86" s="22" t="n">
        <v>18.5</v>
      </c>
    </row>
    <row r="87">
      <c r="A87" s="21" t="inlineStr">
        <is>
          <t>TX10083</t>
        </is>
      </c>
      <c r="B87" s="21" t="inlineStr">
        <is>
          <t>F05</t>
        </is>
      </c>
      <c r="C87" s="24" t="n">
        <v>45930</v>
      </c>
      <c r="D87" s="21" t="inlineStr">
        <is>
          <t>call</t>
        </is>
      </c>
      <c r="E87" s="22" t="n">
        <v>27.6</v>
      </c>
    </row>
    <row r="88">
      <c r="A88" s="21" t="inlineStr">
        <is>
          <t>TX10084</t>
        </is>
      </c>
      <c r="B88" s="21" t="inlineStr">
        <is>
          <t>F05</t>
        </is>
      </c>
      <c r="C88" s="24" t="n">
        <v>45930</v>
      </c>
      <c r="D88" s="21" t="inlineStr">
        <is>
          <t>distribution</t>
        </is>
      </c>
      <c r="E88" s="22" t="n">
        <v>1.2</v>
      </c>
    </row>
    <row r="89">
      <c r="A89" s="21" t="inlineStr">
        <is>
          <t>TX10085</t>
        </is>
      </c>
      <c r="B89" s="21" t="inlineStr">
        <is>
          <t>F01</t>
        </is>
      </c>
      <c r="C89" s="24" t="n">
        <v>46022</v>
      </c>
      <c r="D89" s="21" t="inlineStr">
        <is>
          <t>call</t>
        </is>
      </c>
      <c r="E89" s="22" t="n">
        <v>7.2</v>
      </c>
    </row>
    <row r="90">
      <c r="A90" s="21" t="inlineStr">
        <is>
          <t>TX10086</t>
        </is>
      </c>
      <c r="B90" s="21" t="inlineStr">
        <is>
          <t>F01</t>
        </is>
      </c>
      <c r="C90" s="24" t="n">
        <v>46022</v>
      </c>
      <c r="D90" s="21" t="inlineStr">
        <is>
          <t>distribution</t>
        </is>
      </c>
      <c r="E90" s="22" t="n">
        <v>9.9</v>
      </c>
    </row>
    <row r="91">
      <c r="A91" s="21" t="inlineStr">
        <is>
          <t>TX10087</t>
        </is>
      </c>
      <c r="B91" s="21" t="inlineStr">
        <is>
          <t>F02</t>
        </is>
      </c>
      <c r="C91" s="24" t="n">
        <v>46022</v>
      </c>
      <c r="D91" s="21" t="inlineStr">
        <is>
          <t>call</t>
        </is>
      </c>
      <c r="E91" s="22" t="n">
        <v>9.6</v>
      </c>
    </row>
    <row r="92">
      <c r="A92" s="21" t="inlineStr">
        <is>
          <t>TX10088</t>
        </is>
      </c>
      <c r="B92" s="21" t="inlineStr">
        <is>
          <t>F02</t>
        </is>
      </c>
      <c r="C92" s="24" t="n">
        <v>46022</v>
      </c>
      <c r="D92" s="21" t="inlineStr">
        <is>
          <t>distribution</t>
        </is>
      </c>
      <c r="E92" s="22" t="n">
        <v>3.3</v>
      </c>
    </row>
    <row r="93">
      <c r="A93" s="21" t="inlineStr">
        <is>
          <t>TX10089</t>
        </is>
      </c>
      <c r="B93" s="21" t="inlineStr">
        <is>
          <t>F03</t>
        </is>
      </c>
      <c r="C93" s="24" t="n">
        <v>46022</v>
      </c>
      <c r="D93" s="21" t="inlineStr">
        <is>
          <t>call</t>
        </is>
      </c>
      <c r="E93" s="22" t="n">
        <v>5.7</v>
      </c>
    </row>
    <row r="94">
      <c r="A94" s="21" t="inlineStr">
        <is>
          <t>TX10090</t>
        </is>
      </c>
      <c r="B94" s="21" t="inlineStr">
        <is>
          <t>F03</t>
        </is>
      </c>
      <c r="C94" s="24" t="n">
        <v>46022</v>
      </c>
      <c r="D94" s="21" t="inlineStr">
        <is>
          <t>distribution</t>
        </is>
      </c>
      <c r="E94" s="22" t="n">
        <v>3.9</v>
      </c>
    </row>
    <row r="95">
      <c r="A95" s="21" t="inlineStr">
        <is>
          <t>TX10091</t>
        </is>
      </c>
      <c r="B95" s="21" t="inlineStr">
        <is>
          <t>F04</t>
        </is>
      </c>
      <c r="C95" s="24" t="n">
        <v>46022</v>
      </c>
      <c r="D95" s="21" t="inlineStr">
        <is>
          <t>call</t>
        </is>
      </c>
      <c r="E95" s="22" t="n">
        <v>3.8</v>
      </c>
    </row>
    <row r="96">
      <c r="A96" s="21" t="inlineStr">
        <is>
          <t>TX10092</t>
        </is>
      </c>
      <c r="B96" s="21" t="inlineStr">
        <is>
          <t>F04</t>
        </is>
      </c>
      <c r="C96" s="24" t="n">
        <v>46022</v>
      </c>
      <c r="D96" s="21" t="inlineStr">
        <is>
          <t>distribution</t>
        </is>
      </c>
      <c r="E96" s="22" t="n">
        <v>15</v>
      </c>
    </row>
    <row r="97">
      <c r="A97" s="21" t="inlineStr">
        <is>
          <t>TX10093</t>
        </is>
      </c>
      <c r="B97" s="21" t="inlineStr">
        <is>
          <t>F05</t>
        </is>
      </c>
      <c r="C97" s="24" t="n">
        <v>46022</v>
      </c>
      <c r="D97" s="21" t="inlineStr">
        <is>
          <t>call</t>
        </is>
      </c>
      <c r="E97" s="22" t="n">
        <v>21.7</v>
      </c>
    </row>
    <row r="98">
      <c r="A98" s="21" t="inlineStr">
        <is>
          <t>TX10094</t>
        </is>
      </c>
      <c r="B98" s="21" t="inlineStr">
        <is>
          <t>F05</t>
        </is>
      </c>
      <c r="C98" s="24" t="n">
        <v>46022</v>
      </c>
      <c r="D98" s="21" t="inlineStr">
        <is>
          <t>distribution</t>
        </is>
      </c>
      <c r="E98" s="22" t="n">
        <v>0.9</v>
      </c>
    </row>
    <row r="99">
      <c r="A99" s="21" t="inlineStr">
        <is>
          <t>TX10095</t>
        </is>
      </c>
      <c r="B99" s="21" t="inlineStr">
        <is>
          <t>F01</t>
        </is>
      </c>
      <c r="C99" s="24" t="n">
        <v>46112</v>
      </c>
      <c r="D99" s="21" t="inlineStr">
        <is>
          <t>call</t>
        </is>
      </c>
      <c r="E99" s="22" t="n">
        <v>7.8</v>
      </c>
    </row>
    <row r="100">
      <c r="A100" s="21" t="inlineStr">
        <is>
          <t>TX10096</t>
        </is>
      </c>
      <c r="B100" s="21" t="inlineStr">
        <is>
          <t>F01</t>
        </is>
      </c>
      <c r="C100" s="24" t="n">
        <v>46112</v>
      </c>
      <c r="D100" s="21" t="inlineStr">
        <is>
          <t>distribution</t>
        </is>
      </c>
      <c r="E100" s="22" t="n">
        <v>14.1</v>
      </c>
    </row>
    <row r="101">
      <c r="A101" s="21" t="inlineStr">
        <is>
          <t>TX10097</t>
        </is>
      </c>
      <c r="B101" s="21" t="inlineStr">
        <is>
          <t>F02</t>
        </is>
      </c>
      <c r="C101" s="24" t="n">
        <v>46112</v>
      </c>
      <c r="D101" s="21" t="inlineStr">
        <is>
          <t>call</t>
        </is>
      </c>
      <c r="E101" s="22" t="n">
        <v>10.4</v>
      </c>
    </row>
    <row r="102">
      <c r="A102" s="21" t="inlineStr">
        <is>
          <t>TX10098</t>
        </is>
      </c>
      <c r="B102" s="21" t="inlineStr">
        <is>
          <t>F02</t>
        </is>
      </c>
      <c r="C102" s="24" t="n">
        <v>46112</v>
      </c>
      <c r="D102" s="21" t="inlineStr">
        <is>
          <t>distribution</t>
        </is>
      </c>
      <c r="E102" s="22" t="n">
        <v>4.7</v>
      </c>
    </row>
    <row r="103">
      <c r="A103" s="21" t="inlineStr">
        <is>
          <t>TX10099</t>
        </is>
      </c>
      <c r="B103" s="21" t="inlineStr">
        <is>
          <t>F03</t>
        </is>
      </c>
      <c r="C103" s="24" t="n">
        <v>46112</v>
      </c>
      <c r="D103" s="21" t="inlineStr">
        <is>
          <t>call</t>
        </is>
      </c>
      <c r="E103" s="22" t="n">
        <v>6.2</v>
      </c>
    </row>
    <row r="104">
      <c r="A104" s="21" t="inlineStr">
        <is>
          <t>TX10100</t>
        </is>
      </c>
      <c r="B104" s="21" t="inlineStr">
        <is>
          <t>F03</t>
        </is>
      </c>
      <c r="C104" s="24" t="n">
        <v>46112</v>
      </c>
      <c r="D104" s="21" t="inlineStr">
        <is>
          <t>distribution</t>
        </is>
      </c>
      <c r="E104" s="22" t="n">
        <v>5.6</v>
      </c>
    </row>
    <row r="105">
      <c r="A105" s="21" t="inlineStr">
        <is>
          <t>TX10101</t>
        </is>
      </c>
      <c r="B105" s="21" t="inlineStr">
        <is>
          <t>F04</t>
        </is>
      </c>
      <c r="C105" s="24" t="n">
        <v>46112</v>
      </c>
      <c r="D105" s="21" t="inlineStr">
        <is>
          <t>call</t>
        </is>
      </c>
      <c r="E105" s="22" t="n">
        <v>4.1</v>
      </c>
    </row>
    <row r="106">
      <c r="A106" s="21" t="inlineStr">
        <is>
          <t>TX10102</t>
        </is>
      </c>
      <c r="B106" s="21" t="inlineStr">
        <is>
          <t>F04</t>
        </is>
      </c>
      <c r="C106" s="24" t="n">
        <v>46112</v>
      </c>
      <c r="D106" s="21" t="inlineStr">
        <is>
          <t>distribution</t>
        </is>
      </c>
      <c r="E106" s="22" t="n">
        <v>21.2</v>
      </c>
    </row>
    <row r="107">
      <c r="A107" s="21" t="inlineStr">
        <is>
          <t>TX10103</t>
        </is>
      </c>
      <c r="B107" s="21" t="inlineStr">
        <is>
          <t>F05</t>
        </is>
      </c>
      <c r="C107" s="24" t="n">
        <v>46112</v>
      </c>
      <c r="D107" s="21" t="inlineStr">
        <is>
          <t>call</t>
        </is>
      </c>
      <c r="E107" s="22" t="n">
        <v>23.5</v>
      </c>
    </row>
    <row r="108">
      <c r="A108" s="21" t="inlineStr">
        <is>
          <t>TX10104</t>
        </is>
      </c>
      <c r="B108" s="21" t="inlineStr">
        <is>
          <t>F05</t>
        </is>
      </c>
      <c r="C108" s="24" t="n">
        <v>46112</v>
      </c>
      <c r="D108" s="21" t="inlineStr">
        <is>
          <t>distribution</t>
        </is>
      </c>
      <c r="E108" s="22" t="n">
        <v>1.4</v>
      </c>
    </row>
    <row r="109">
      <c r="A109" s="21" t="inlineStr">
        <is>
          <t>TX10105</t>
        </is>
      </c>
      <c r="B109" s="21" t="inlineStr">
        <is>
          <t>F01</t>
        </is>
      </c>
      <c r="C109" s="24" t="n">
        <v>46203</v>
      </c>
      <c r="D109" s="21" t="inlineStr">
        <is>
          <t>call</t>
        </is>
      </c>
      <c r="E109" s="22" t="n">
        <v>5.8</v>
      </c>
    </row>
    <row r="110">
      <c r="A110" s="21" t="inlineStr">
        <is>
          <t>TX10106</t>
        </is>
      </c>
      <c r="B110" s="21" t="inlineStr">
        <is>
          <t>F01</t>
        </is>
      </c>
      <c r="C110" s="24" t="n">
        <v>46203</v>
      </c>
      <c r="D110" s="21" t="inlineStr">
        <is>
          <t>distribution</t>
        </is>
      </c>
      <c r="E110" s="22" t="n">
        <v>8.699999999999999</v>
      </c>
    </row>
    <row r="111">
      <c r="A111" s="21" t="inlineStr">
        <is>
          <t>TX10107</t>
        </is>
      </c>
      <c r="B111" s="21" t="inlineStr">
        <is>
          <t>F02</t>
        </is>
      </c>
      <c r="C111" s="24" t="n">
        <v>46203</v>
      </c>
      <c r="D111" s="21" t="inlineStr">
        <is>
          <t>call</t>
        </is>
      </c>
      <c r="E111" s="22" t="n">
        <v>7.8</v>
      </c>
    </row>
    <row r="112">
      <c r="A112" s="21" t="inlineStr">
        <is>
          <t>TX10108</t>
        </is>
      </c>
      <c r="B112" s="21" t="inlineStr">
        <is>
          <t>F02</t>
        </is>
      </c>
      <c r="C112" s="24" t="n">
        <v>46203</v>
      </c>
      <c r="D112" s="21" t="inlineStr">
        <is>
          <t>distribution</t>
        </is>
      </c>
      <c r="E112" s="22" t="n">
        <v>2.9</v>
      </c>
    </row>
    <row r="113">
      <c r="A113" s="21" t="inlineStr">
        <is>
          <t>TX10109</t>
        </is>
      </c>
      <c r="B113" s="21" t="inlineStr">
        <is>
          <t>F03</t>
        </is>
      </c>
      <c r="C113" s="24" t="n">
        <v>46203</v>
      </c>
      <c r="D113" s="21" t="inlineStr">
        <is>
          <t>call</t>
        </is>
      </c>
      <c r="E113" s="22" t="n">
        <v>4.6</v>
      </c>
    </row>
    <row r="114">
      <c r="A114" s="21" t="inlineStr">
        <is>
          <t>TX10110</t>
        </is>
      </c>
      <c r="B114" s="21" t="inlineStr">
        <is>
          <t>F03</t>
        </is>
      </c>
      <c r="C114" s="24" t="n">
        <v>46203</v>
      </c>
      <c r="D114" s="21" t="inlineStr">
        <is>
          <t>distribution</t>
        </is>
      </c>
      <c r="E114" s="22" t="n">
        <v>3.4</v>
      </c>
    </row>
    <row r="115">
      <c r="A115" s="21" t="inlineStr">
        <is>
          <t>TX10111</t>
        </is>
      </c>
      <c r="B115" s="21" t="inlineStr">
        <is>
          <t>F04</t>
        </is>
      </c>
      <c r="C115" s="24" t="n">
        <v>46203</v>
      </c>
      <c r="D115" s="21" t="inlineStr">
        <is>
          <t>call</t>
        </is>
      </c>
      <c r="E115" s="22" t="n">
        <v>3.1</v>
      </c>
    </row>
    <row r="116">
      <c r="A116" s="21" t="inlineStr">
        <is>
          <t>TX10112</t>
        </is>
      </c>
      <c r="B116" s="21" t="inlineStr">
        <is>
          <t>F04</t>
        </is>
      </c>
      <c r="C116" s="24" t="n">
        <v>46203</v>
      </c>
      <c r="D116" s="21" t="inlineStr">
        <is>
          <t>distribution</t>
        </is>
      </c>
      <c r="E116" s="22" t="n">
        <v>13.2</v>
      </c>
    </row>
    <row r="117">
      <c r="A117" s="21" t="inlineStr">
        <is>
          <t>TX10113</t>
        </is>
      </c>
      <c r="B117" s="21" t="inlineStr">
        <is>
          <t>F05</t>
        </is>
      </c>
      <c r="C117" s="24" t="n">
        <v>46203</v>
      </c>
      <c r="D117" s="21" t="inlineStr">
        <is>
          <t>call</t>
        </is>
      </c>
      <c r="E117" s="22" t="n">
        <v>17.7</v>
      </c>
    </row>
    <row r="118">
      <c r="A118" s="21" t="inlineStr">
        <is>
          <t>TX10114</t>
        </is>
      </c>
      <c r="B118" s="21" t="inlineStr">
        <is>
          <t>F05</t>
        </is>
      </c>
      <c r="C118" s="24" t="n">
        <v>46203</v>
      </c>
      <c r="D118" s="21" t="inlineStr">
        <is>
          <t>distribution</t>
        </is>
      </c>
      <c r="E118" s="22" t="n">
        <v>0.8</v>
      </c>
    </row>
    <row r="119">
      <c r="A119" s="21" t="inlineStr">
        <is>
          <t>TX10115</t>
        </is>
      </c>
      <c r="B119" s="21" t="inlineStr">
        <is>
          <t>F01</t>
        </is>
      </c>
      <c r="C119" s="24" t="n">
        <v>46295</v>
      </c>
      <c r="D119" s="21" t="inlineStr">
        <is>
          <t>call</t>
        </is>
      </c>
      <c r="E119" s="22" t="n">
        <v>7.2</v>
      </c>
    </row>
    <row r="120">
      <c r="A120" s="21" t="inlineStr">
        <is>
          <t>TX10116</t>
        </is>
      </c>
      <c r="B120" s="21" t="inlineStr">
        <is>
          <t>F01</t>
        </is>
      </c>
      <c r="C120" s="24" t="n">
        <v>46295</v>
      </c>
      <c r="D120" s="21" t="inlineStr">
        <is>
          <t>distribution</t>
        </is>
      </c>
      <c r="E120" s="22" t="n">
        <v>9.6</v>
      </c>
    </row>
    <row r="121">
      <c r="A121" s="21" t="inlineStr">
        <is>
          <t>TX10117</t>
        </is>
      </c>
      <c r="B121" s="21" t="inlineStr">
        <is>
          <t>F02</t>
        </is>
      </c>
      <c r="C121" s="24" t="n">
        <v>46295</v>
      </c>
      <c r="D121" s="21" t="inlineStr">
        <is>
          <t>call</t>
        </is>
      </c>
      <c r="E121" s="22" t="n">
        <v>9.6</v>
      </c>
    </row>
    <row r="122">
      <c r="A122" s="21" t="inlineStr">
        <is>
          <t>TX10118</t>
        </is>
      </c>
      <c r="B122" s="21" t="inlineStr">
        <is>
          <t>F02</t>
        </is>
      </c>
      <c r="C122" s="24" t="n">
        <v>46295</v>
      </c>
      <c r="D122" s="21" t="inlineStr">
        <is>
          <t>distribution</t>
        </is>
      </c>
      <c r="E122" s="22" t="n">
        <v>3.2</v>
      </c>
    </row>
    <row r="123">
      <c r="A123" s="21" t="inlineStr">
        <is>
          <t>TX10119</t>
        </is>
      </c>
      <c r="B123" s="21" t="inlineStr">
        <is>
          <t>F03</t>
        </is>
      </c>
      <c r="C123" s="24" t="n">
        <v>46295</v>
      </c>
      <c r="D123" s="21" t="inlineStr">
        <is>
          <t>call</t>
        </is>
      </c>
      <c r="E123" s="22" t="n">
        <v>5.7</v>
      </c>
    </row>
    <row r="124">
      <c r="A124" s="21" t="inlineStr">
        <is>
          <t>TX10120</t>
        </is>
      </c>
      <c r="B124" s="21" t="inlineStr">
        <is>
          <t>F03</t>
        </is>
      </c>
      <c r="C124" s="24" t="n">
        <v>46295</v>
      </c>
      <c r="D124" s="21" t="inlineStr">
        <is>
          <t>distribution</t>
        </is>
      </c>
      <c r="E124" s="22" t="n">
        <v>3.8</v>
      </c>
    </row>
    <row r="125">
      <c r="A125" s="21" t="inlineStr">
        <is>
          <t>TX10121</t>
        </is>
      </c>
      <c r="B125" s="21" t="inlineStr">
        <is>
          <t>F04</t>
        </is>
      </c>
      <c r="C125" s="24" t="n">
        <v>46295</v>
      </c>
      <c r="D125" s="21" t="inlineStr">
        <is>
          <t>call</t>
        </is>
      </c>
      <c r="E125" s="22" t="n">
        <v>3.8</v>
      </c>
    </row>
    <row r="126">
      <c r="A126" s="21" t="inlineStr">
        <is>
          <t>TX10122</t>
        </is>
      </c>
      <c r="B126" s="21" t="inlineStr">
        <is>
          <t>F04</t>
        </is>
      </c>
      <c r="C126" s="24" t="n">
        <v>46295</v>
      </c>
      <c r="D126" s="21" t="inlineStr">
        <is>
          <t>distribution</t>
        </is>
      </c>
      <c r="E126" s="22" t="n">
        <v>14.5</v>
      </c>
    </row>
    <row r="127">
      <c r="A127" s="21" t="inlineStr">
        <is>
          <t>TX10123</t>
        </is>
      </c>
      <c r="B127" s="21" t="inlineStr">
        <is>
          <t>F05</t>
        </is>
      </c>
      <c r="C127" s="24" t="n">
        <v>46295</v>
      </c>
      <c r="D127" s="21" t="inlineStr">
        <is>
          <t>call</t>
        </is>
      </c>
      <c r="E127" s="22" t="n">
        <v>21.7</v>
      </c>
    </row>
    <row r="128">
      <c r="A128" s="21" t="inlineStr">
        <is>
          <t>TX10124</t>
        </is>
      </c>
      <c r="B128" s="21" t="inlineStr">
        <is>
          <t>F05</t>
        </is>
      </c>
      <c r="C128" s="24" t="n">
        <v>46295</v>
      </c>
      <c r="D128" s="21" t="inlineStr">
        <is>
          <t>distribution</t>
        </is>
      </c>
      <c r="E128" s="22" t="n">
        <v>0.9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4" customWidth="1" min="4" max="4"/>
    <col width="10" customWidth="1" min="5" max="5"/>
    <col width="14" customWidth="1" min="6" max="6"/>
    <col width="14" customWidth="1" min="7" max="7"/>
    <col width="16" customWidth="1" min="8" max="8"/>
    <col width="11" customWidth="1" min="9" max="9"/>
  </cols>
  <sheetData>
    <row r="1">
      <c r="A1" s="1" t="inlineStr">
        <is>
          <t>NAV bridge — quarter to as-at date</t>
        </is>
      </c>
    </row>
    <row r="3" ht="30" customHeight="1">
      <c r="A3" s="5" t="inlineStr">
        <is>
          <t>Fund ID</t>
        </is>
      </c>
      <c r="B3" s="5" t="inlineStr">
        <is>
          <t>Opening NAV ($m)</t>
        </is>
      </c>
      <c r="C3" s="5" t="inlineStr">
        <is>
          <t>Calls in qtr</t>
        </is>
      </c>
      <c r="D3" s="5" t="inlineStr">
        <is>
          <t>Distributions in qtr</t>
        </is>
      </c>
      <c r="E3" s="5" t="inlineStr">
        <is>
          <t>Income</t>
        </is>
      </c>
      <c r="F3" s="5" t="inlineStr">
        <is>
          <t>Valuation movement</t>
        </is>
      </c>
      <c r="G3" s="5" t="inlineStr">
        <is>
          <t>Expected close</t>
        </is>
      </c>
      <c r="H3" s="5" t="inlineStr">
        <is>
          <t>Reported closing NAV</t>
        </is>
      </c>
      <c r="I3" s="5" t="inlineStr">
        <is>
          <t>Break ($m)</t>
        </is>
      </c>
    </row>
    <row r="4">
      <c r="A4" s="21" t="inlineStr">
        <is>
          <t>F01</t>
        </is>
      </c>
      <c r="B4" s="22" t="n">
        <v>475.9</v>
      </c>
      <c r="C4" s="7">
        <f>SUMIFS(Cashflows!$E$4:$E$128,Cashflows!$B$4:$B$128,$A4,Cashflows!$D$4:$D$128,"call",Cashflows!$C$4:$C$128,"&gt;"&amp;EOMONTH(AsAt,-3),Cashflows!$C$4:$C$128,"&lt;="&amp;AsAt)</f>
        <v/>
      </c>
      <c r="D4" s="7">
        <f>SUMIFS(Cashflows!$E$4:$E$128,Cashflows!$B$4:$B$128,$A4,Cashflows!$D$4:$D$128,"distribution",Cashflows!$C$4:$C$128,"&gt;"&amp;EOMONTH(AsAt,-3),Cashflows!$C$4:$C$128,"&lt;="&amp;AsAt)</f>
        <v/>
      </c>
      <c r="E4" s="22" t="n">
        <v>4.5</v>
      </c>
      <c r="F4" s="22" t="n">
        <v>14</v>
      </c>
      <c r="G4" s="20">
        <f>B4+C4-D4+E4+F4</f>
        <v/>
      </c>
      <c r="H4" s="22" t="n">
        <v>492</v>
      </c>
      <c r="I4" s="20">
        <f>ROUND(G4-H4,2)</f>
        <v/>
      </c>
    </row>
    <row r="5">
      <c r="A5" s="21" t="inlineStr">
        <is>
          <t>F02</t>
        </is>
      </c>
      <c r="B5" s="22" t="n">
        <v>261.6</v>
      </c>
      <c r="C5" s="7">
        <f>SUMIFS(Cashflows!$E$4:$E$128,Cashflows!$B$4:$B$128,$A5,Cashflows!$D$4:$D$128,"call",Cashflows!$C$4:$C$128,"&gt;"&amp;EOMONTH(AsAt,-3),Cashflows!$C$4:$C$128,"&lt;="&amp;AsAt)</f>
        <v/>
      </c>
      <c r="D5" s="7">
        <f>SUMIFS(Cashflows!$E$4:$E$128,Cashflows!$B$4:$B$128,$A5,Cashflows!$D$4:$D$128,"distribution",Cashflows!$C$4:$C$128,"&gt;"&amp;EOMONTH(AsAt,-3),Cashflows!$C$4:$C$128,"&lt;="&amp;AsAt)</f>
        <v/>
      </c>
      <c r="E5" s="22" t="n">
        <v>2</v>
      </c>
      <c r="F5" s="22" t="n">
        <v>9</v>
      </c>
      <c r="G5" s="20">
        <f>B5+C5-D5+E5+F5</f>
        <v/>
      </c>
      <c r="H5" s="22" t="n">
        <v>279</v>
      </c>
      <c r="I5" s="20">
        <f>ROUND(G5-H5,2)</f>
        <v/>
      </c>
    </row>
    <row r="6">
      <c r="A6" s="21" t="inlineStr">
        <is>
          <t>F03</t>
        </is>
      </c>
      <c r="B6" s="22" t="n">
        <v>323.6</v>
      </c>
      <c r="C6" s="7">
        <f>SUMIFS(Cashflows!$E$4:$E$128,Cashflows!$B$4:$B$128,$A6,Cashflows!$D$4:$D$128,"call",Cashflows!$C$4:$C$128,"&gt;"&amp;EOMONTH(AsAt,-3),Cashflows!$C$4:$C$128,"&lt;="&amp;AsAt)</f>
        <v/>
      </c>
      <c r="D6" s="7">
        <f>SUMIFS(Cashflows!$E$4:$E$128,Cashflows!$B$4:$B$128,$A6,Cashflows!$D$4:$D$128,"distribution",Cashflows!$C$4:$C$128,"&gt;"&amp;EOMONTH(AsAt,-3),Cashflows!$C$4:$C$128,"&lt;="&amp;AsAt)</f>
        <v/>
      </c>
      <c r="E6" s="22" t="n">
        <v>7.5</v>
      </c>
      <c r="F6" s="22" t="n">
        <v>1</v>
      </c>
      <c r="G6" s="20">
        <f>B6+C6-D6+E6+F6</f>
        <v/>
      </c>
      <c r="H6" s="22" t="n">
        <v>334</v>
      </c>
      <c r="I6" s="20">
        <f>ROUND(G6-H6,2)</f>
        <v/>
      </c>
    </row>
    <row r="7">
      <c r="A7" s="21" t="inlineStr">
        <is>
          <t>F04</t>
        </is>
      </c>
      <c r="B7" s="22" t="n">
        <v>438.7</v>
      </c>
      <c r="C7" s="7">
        <f>SUMIFS(Cashflows!$E$4:$E$128,Cashflows!$B$4:$B$128,$A7,Cashflows!$D$4:$D$128,"call",Cashflows!$C$4:$C$128,"&gt;"&amp;EOMONTH(AsAt,-3),Cashflows!$C$4:$C$128,"&lt;="&amp;AsAt)</f>
        <v/>
      </c>
      <c r="D7" s="7">
        <f>SUMIFS(Cashflows!$E$4:$E$128,Cashflows!$B$4:$B$128,$A7,Cashflows!$D$4:$D$128,"distribution",Cashflows!$C$4:$C$128,"&gt;"&amp;EOMONTH(AsAt,-3),Cashflows!$C$4:$C$128,"&lt;="&amp;AsAt)</f>
        <v/>
      </c>
      <c r="E7" s="22" t="n">
        <v>1</v>
      </c>
      <c r="F7" s="22" t="n">
        <v>15</v>
      </c>
      <c r="G7" s="20">
        <f>B7+C7-D7+E7+F7</f>
        <v/>
      </c>
      <c r="H7" s="22" t="n">
        <v>444</v>
      </c>
      <c r="I7" s="20">
        <f>ROUND(G7-H7,2)</f>
        <v/>
      </c>
    </row>
    <row r="8">
      <c r="A8" s="21" t="inlineStr">
        <is>
          <t>F05</t>
        </is>
      </c>
      <c r="B8" s="22" t="n">
        <v>258.2</v>
      </c>
      <c r="C8" s="7">
        <f>SUMIFS(Cashflows!$E$4:$E$128,Cashflows!$B$4:$B$128,$A8,Cashflows!$D$4:$D$128,"call",Cashflows!$C$4:$C$128,"&gt;"&amp;EOMONTH(AsAt,-3),Cashflows!$C$4:$C$128,"&lt;="&amp;AsAt)</f>
        <v/>
      </c>
      <c r="D8" s="7">
        <f>SUMIFS(Cashflows!$E$4:$E$128,Cashflows!$B$4:$B$128,$A8,Cashflows!$D$4:$D$128,"distribution",Cashflows!$C$4:$C$128,"&gt;"&amp;EOMONTH(AsAt,-3),Cashflows!$C$4:$C$128,"&lt;="&amp;AsAt)</f>
        <v/>
      </c>
      <c r="E8" s="22" t="n">
        <v>4</v>
      </c>
      <c r="F8" s="22" t="n">
        <v>6</v>
      </c>
      <c r="G8" s="20">
        <f>B8+C8-D8+E8+F8</f>
        <v/>
      </c>
      <c r="H8" s="22" t="n">
        <v>289</v>
      </c>
      <c r="I8" s="20">
        <f>ROUND(G8-H8,2)</f>
        <v/>
      </c>
    </row>
    <row r="9">
      <c r="A9" s="2" t="inlineStr">
        <is>
          <t>Total</t>
        </is>
      </c>
      <c r="B9" s="25">
        <f>SUM(B4:B8)</f>
        <v/>
      </c>
      <c r="C9" s="25">
        <f>SUM(C4:C8)</f>
        <v/>
      </c>
      <c r="D9" s="25">
        <f>SUM(D4:D8)</f>
        <v/>
      </c>
      <c r="E9" s="25">
        <f>SUM(E4:E8)</f>
        <v/>
      </c>
      <c r="F9" s="25">
        <f>SUM(F4:F8)</f>
        <v/>
      </c>
      <c r="G9" s="25">
        <f>SUM(G4:G8)</f>
        <v/>
      </c>
      <c r="H9" s="25">
        <f>SUM(H4:H8)</f>
        <v/>
      </c>
      <c r="I9" s="25">
        <f>SUM(I4:I8)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20" customWidth="1" min="3" max="3"/>
    <col width="56" customWidth="1" min="4" max="4"/>
    <col width="11" customWidth="1" min="5" max="5"/>
    <col width="13" customWidth="1" min="6" max="6"/>
    <col width="17" customWidth="1" min="7" max="7"/>
    <col width="9" customWidth="1" min="8" max="8"/>
    <col width="10" customWidth="1" min="9" max="9"/>
  </cols>
  <sheetData>
    <row r="1">
      <c r="A1" s="1" t="inlineStr">
        <is>
          <t>Open exception log</t>
        </is>
      </c>
    </row>
    <row r="3" ht="30" customHeight="1">
      <c r="A3" s="5" t="inlineStr">
        <is>
          <t>Ref</t>
        </is>
      </c>
      <c r="B3" s="5" t="inlineStr">
        <is>
          <t>Fund ID</t>
        </is>
      </c>
      <c r="C3" s="5" t="inlineStr">
        <is>
          <t>Category</t>
        </is>
      </c>
      <c r="D3" s="5" t="inlineStr">
        <is>
          <t>Description</t>
        </is>
      </c>
      <c r="E3" s="5" t="inlineStr">
        <is>
          <t>Value ($m)</t>
        </is>
      </c>
      <c r="F3" s="5" t="inlineStr">
        <is>
          <t>Opened</t>
        </is>
      </c>
      <c r="G3" s="5" t="inlineStr">
        <is>
          <t>Owner</t>
        </is>
      </c>
      <c r="H3" s="5" t="inlineStr">
        <is>
          <t>Status</t>
        </is>
      </c>
      <c r="I3" s="5" t="inlineStr">
        <is>
          <t>Age (days)</t>
        </is>
      </c>
    </row>
    <row r="4">
      <c r="A4" s="21" t="inlineStr">
        <is>
          <t>EX-0398</t>
        </is>
      </c>
      <c r="B4" s="21" t="inlineStr">
        <is>
          <t>F05</t>
        </is>
      </c>
      <c r="C4" s="21" t="inlineStr">
        <is>
          <t>Investor Allocations</t>
        </is>
      </c>
      <c r="D4" s="21" t="inlineStr">
        <is>
          <t>Late-closer equalisation interest not yet allocated</t>
        </is>
      </c>
      <c r="E4" s="26" t="n">
        <v>0.096</v>
      </c>
      <c r="F4" s="24" t="n">
        <v>46280</v>
      </c>
      <c r="G4" s="21" t="inlineStr">
        <is>
          <t>Investor Services</t>
        </is>
      </c>
      <c r="H4" s="21" t="inlineStr">
        <is>
          <t>Open</t>
        </is>
      </c>
      <c r="I4" s="27">
        <f>AsAt-F4</f>
        <v/>
      </c>
    </row>
    <row r="5">
      <c r="A5" s="21" t="inlineStr">
        <is>
          <t>EX-0401</t>
        </is>
      </c>
      <c r="B5" s="21" t="inlineStr">
        <is>
          <t>F05</t>
        </is>
      </c>
      <c r="C5" s="21" t="inlineStr">
        <is>
          <t>Fee Accruals</t>
        </is>
      </c>
      <c r="D5" s="21" t="inlineStr">
        <is>
          <t>Mgmt fee basis moved to invested capital; accrual not updated</t>
        </is>
      </c>
      <c r="E5" s="26" t="n">
        <v>0.42</v>
      </c>
      <c r="F5" s="24" t="n">
        <v>46283</v>
      </c>
      <c r="G5" s="21" t="inlineStr">
        <is>
          <t>Fund Accounting</t>
        </is>
      </c>
      <c r="H5" s="21" t="inlineStr">
        <is>
          <t>Open</t>
        </is>
      </c>
      <c r="I5" s="27">
        <f>AsAt-F5</f>
        <v/>
      </c>
    </row>
    <row r="6">
      <c r="A6" s="21" t="inlineStr">
        <is>
          <t>EX-0409</t>
        </is>
      </c>
      <c r="B6" s="21" t="inlineStr">
        <is>
          <t>F03</t>
        </is>
      </c>
      <c r="C6" s="21" t="inlineStr">
        <is>
          <t>Cash Reconciliation</t>
        </is>
      </c>
      <c r="D6" s="21" t="inlineStr">
        <is>
          <t>Loan interest receipt timing difference at quarter-end</t>
        </is>
      </c>
      <c r="E6" s="26" t="n">
        <v>0.31</v>
      </c>
      <c r="F6" s="24" t="n">
        <v>46286</v>
      </c>
      <c r="G6" s="21" t="inlineStr">
        <is>
          <t>Fund Accounting</t>
        </is>
      </c>
      <c r="H6" s="21" t="inlineStr">
        <is>
          <t>Open</t>
        </is>
      </c>
      <c r="I6" s="27">
        <f>AsAt-F6</f>
        <v/>
      </c>
    </row>
    <row r="7">
      <c r="A7" s="21" t="inlineStr">
        <is>
          <t>EX-0407</t>
        </is>
      </c>
      <c r="B7" s="21" t="inlineStr">
        <is>
          <t>F02</t>
        </is>
      </c>
      <c r="C7" s="21" t="inlineStr">
        <is>
          <t>Valuation Timing</t>
        </is>
      </c>
      <c r="D7" s="21" t="inlineStr">
        <is>
          <t>Portfolio company valuation dated 30 Jun; quarter-end 30 Sep</t>
        </is>
      </c>
      <c r="E7" s="26" t="n"/>
      <c r="F7" s="24" t="n">
        <v>46287</v>
      </c>
      <c r="G7" s="21" t="inlineStr">
        <is>
          <t>Valuations</t>
        </is>
      </c>
      <c r="H7" s="21" t="inlineStr">
        <is>
          <t>Open</t>
        </is>
      </c>
      <c r="I7" s="27">
        <f>AsAt-F7</f>
        <v/>
      </c>
    </row>
    <row r="8">
      <c r="A8" s="21" t="inlineStr">
        <is>
          <t>EX-0412</t>
        </is>
      </c>
      <c r="B8" s="21" t="inlineStr">
        <is>
          <t>F05</t>
        </is>
      </c>
      <c r="C8" s="21" t="inlineStr">
        <is>
          <t>Cash Reconciliation</t>
        </is>
      </c>
      <c r="D8" s="21" t="inlineStr">
        <is>
          <t>Custodian vs GL cash variance on operating account</t>
        </is>
      </c>
      <c r="E8" s="26" t="n">
        <v>0.184</v>
      </c>
      <c r="F8" s="24" t="n">
        <v>46289</v>
      </c>
      <c r="G8" s="21" t="inlineStr">
        <is>
          <t>Fund Accounting</t>
        </is>
      </c>
      <c r="H8" s="21" t="inlineStr">
        <is>
          <t>Open</t>
        </is>
      </c>
      <c r="I8" s="27">
        <f>AsAt-F8</f>
        <v/>
      </c>
    </row>
    <row r="9">
      <c r="A9" s="21" t="inlineStr">
        <is>
          <t>EX-0413</t>
        </is>
      </c>
      <c r="B9" s="21" t="inlineStr">
        <is>
          <t>F03</t>
        </is>
      </c>
      <c r="C9" s="21" t="inlineStr">
        <is>
          <t>Fee Accruals</t>
        </is>
      </c>
      <c r="D9" s="21" t="inlineStr">
        <is>
          <t>Admin fee invoice exceeds accrual by 6.2%</t>
        </is>
      </c>
      <c r="E9" s="26" t="n">
        <v>0.021</v>
      </c>
      <c r="F9" s="24" t="n">
        <v>46291</v>
      </c>
      <c r="G9" s="21" t="inlineStr">
        <is>
          <t>Fund Accounting</t>
        </is>
      </c>
      <c r="H9" s="21" t="inlineStr">
        <is>
          <t>Open</t>
        </is>
      </c>
      <c r="I9" s="27">
        <f>AsAt-F9</f>
        <v/>
      </c>
    </row>
    <row r="10">
      <c r="A10" s="21" t="inlineStr">
        <is>
          <t>EX-0415</t>
        </is>
      </c>
      <c r="B10" s="21" t="inlineStr">
        <is>
          <t>F05</t>
        </is>
      </c>
      <c r="C10" s="21" t="inlineStr">
        <is>
          <t>Cash Reconciliation</t>
        </is>
      </c>
      <c r="D10" s="21" t="inlineStr">
        <is>
          <t>Unmatched capital call receipt from LP 0412</t>
        </is>
      </c>
      <c r="E10" s="26" t="n">
        <v>2.4</v>
      </c>
      <c r="F10" s="24" t="n">
        <v>46292</v>
      </c>
      <c r="G10" s="21" t="inlineStr">
        <is>
          <t>Investor Services</t>
        </is>
      </c>
      <c r="H10" s="21" t="inlineStr">
        <is>
          <t>Open</t>
        </is>
      </c>
      <c r="I10" s="27">
        <f>AsAt-F10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1" customWidth="1" min="4" max="4"/>
  </cols>
  <sheetData>
    <row r="1">
      <c r="A1" s="1" t="inlineStr">
        <is>
          <t>Capital calls vs distributions — trailing 8 quarters</t>
        </is>
      </c>
    </row>
    <row r="3" ht="30" customHeight="1">
      <c r="A3" s="5" t="inlineStr">
        <is>
          <t>Quarter end</t>
        </is>
      </c>
      <c r="B3" s="5" t="inlineStr">
        <is>
          <t>Calls ($m)</t>
        </is>
      </c>
      <c r="C3" s="5" t="inlineStr">
        <is>
          <t>Distributions ($m)</t>
        </is>
      </c>
      <c r="D3" s="5" t="inlineStr">
        <is>
          <t>Net ($m)</t>
        </is>
      </c>
    </row>
    <row r="4">
      <c r="A4" s="28">
        <f>EOMONTH(AsAt,-21)</f>
        <v/>
      </c>
      <c r="B4" s="7">
        <f>SUMIFS(Cashflows!$E$4:$E$128,Cashflows!$D$4:$D$128,"call",Cashflows!$C$4:$C$128,"&gt;"&amp;EOMONTH($A4,-3),Cashflows!$C$4:$C$128,"&lt;="&amp;$A4)</f>
        <v/>
      </c>
      <c r="C4" s="7">
        <f>SUMIFS(Cashflows!$E$4:$E$128,Cashflows!$D$4:$D$128,"distribution",Cashflows!$C$4:$C$128,"&gt;"&amp;EOMONTH($A4,-3),Cashflows!$C$4:$C$128,"&lt;="&amp;$A4)</f>
        <v/>
      </c>
      <c r="D4" s="20">
        <f>B4-C4</f>
        <v/>
      </c>
    </row>
    <row r="5">
      <c r="A5" s="28">
        <f>EOMONTH(AsAt,-18)</f>
        <v/>
      </c>
      <c r="B5" s="7">
        <f>SUMIFS(Cashflows!$E$4:$E$128,Cashflows!$D$4:$D$128,"call",Cashflows!$C$4:$C$128,"&gt;"&amp;EOMONTH($A5,-3),Cashflows!$C$4:$C$128,"&lt;="&amp;$A5)</f>
        <v/>
      </c>
      <c r="C5" s="7">
        <f>SUMIFS(Cashflows!$E$4:$E$128,Cashflows!$D$4:$D$128,"distribution",Cashflows!$C$4:$C$128,"&gt;"&amp;EOMONTH($A5,-3),Cashflows!$C$4:$C$128,"&lt;="&amp;$A5)</f>
        <v/>
      </c>
      <c r="D5" s="20">
        <f>B5-C5</f>
        <v/>
      </c>
    </row>
    <row r="6">
      <c r="A6" s="28">
        <f>EOMONTH(AsAt,-15)</f>
        <v/>
      </c>
      <c r="B6" s="7">
        <f>SUMIFS(Cashflows!$E$4:$E$128,Cashflows!$D$4:$D$128,"call",Cashflows!$C$4:$C$128,"&gt;"&amp;EOMONTH($A6,-3),Cashflows!$C$4:$C$128,"&lt;="&amp;$A6)</f>
        <v/>
      </c>
      <c r="C6" s="7">
        <f>SUMIFS(Cashflows!$E$4:$E$128,Cashflows!$D$4:$D$128,"distribution",Cashflows!$C$4:$C$128,"&gt;"&amp;EOMONTH($A6,-3),Cashflows!$C$4:$C$128,"&lt;="&amp;$A6)</f>
        <v/>
      </c>
      <c r="D6" s="20">
        <f>B6-C6</f>
        <v/>
      </c>
    </row>
    <row r="7">
      <c r="A7" s="28">
        <f>EOMONTH(AsAt,-12)</f>
        <v/>
      </c>
      <c r="B7" s="7">
        <f>SUMIFS(Cashflows!$E$4:$E$128,Cashflows!$D$4:$D$128,"call",Cashflows!$C$4:$C$128,"&gt;"&amp;EOMONTH($A7,-3),Cashflows!$C$4:$C$128,"&lt;="&amp;$A7)</f>
        <v/>
      </c>
      <c r="C7" s="7">
        <f>SUMIFS(Cashflows!$E$4:$E$128,Cashflows!$D$4:$D$128,"distribution",Cashflows!$C$4:$C$128,"&gt;"&amp;EOMONTH($A7,-3),Cashflows!$C$4:$C$128,"&lt;="&amp;$A7)</f>
        <v/>
      </c>
      <c r="D7" s="20">
        <f>B7-C7</f>
        <v/>
      </c>
    </row>
    <row r="8">
      <c r="A8" s="28">
        <f>EOMONTH(AsAt,-9)</f>
        <v/>
      </c>
      <c r="B8" s="7">
        <f>SUMIFS(Cashflows!$E$4:$E$128,Cashflows!$D$4:$D$128,"call",Cashflows!$C$4:$C$128,"&gt;"&amp;EOMONTH($A8,-3),Cashflows!$C$4:$C$128,"&lt;="&amp;$A8)</f>
        <v/>
      </c>
      <c r="C8" s="7">
        <f>SUMIFS(Cashflows!$E$4:$E$128,Cashflows!$D$4:$D$128,"distribution",Cashflows!$C$4:$C$128,"&gt;"&amp;EOMONTH($A8,-3),Cashflows!$C$4:$C$128,"&lt;="&amp;$A8)</f>
        <v/>
      </c>
      <c r="D8" s="20">
        <f>B8-C8</f>
        <v/>
      </c>
    </row>
    <row r="9">
      <c r="A9" s="28">
        <f>EOMONTH(AsAt,-6)</f>
        <v/>
      </c>
      <c r="B9" s="7">
        <f>SUMIFS(Cashflows!$E$4:$E$128,Cashflows!$D$4:$D$128,"call",Cashflows!$C$4:$C$128,"&gt;"&amp;EOMONTH($A9,-3),Cashflows!$C$4:$C$128,"&lt;="&amp;$A9)</f>
        <v/>
      </c>
      <c r="C9" s="7">
        <f>SUMIFS(Cashflows!$E$4:$E$128,Cashflows!$D$4:$D$128,"distribution",Cashflows!$C$4:$C$128,"&gt;"&amp;EOMONTH($A9,-3),Cashflows!$C$4:$C$128,"&lt;="&amp;$A9)</f>
        <v/>
      </c>
      <c r="D9" s="20">
        <f>B9-C9</f>
        <v/>
      </c>
    </row>
    <row r="10">
      <c r="A10" s="28">
        <f>EOMONTH(AsAt,-3)</f>
        <v/>
      </c>
      <c r="B10" s="7">
        <f>SUMIFS(Cashflows!$E$4:$E$128,Cashflows!$D$4:$D$128,"call",Cashflows!$C$4:$C$128,"&gt;"&amp;EOMONTH($A10,-3),Cashflows!$C$4:$C$128,"&lt;="&amp;$A10)</f>
        <v/>
      </c>
      <c r="C10" s="7">
        <f>SUMIFS(Cashflows!$E$4:$E$128,Cashflows!$D$4:$D$128,"distribution",Cashflows!$C$4:$C$128,"&gt;"&amp;EOMONTH($A10,-3),Cashflows!$C$4:$C$128,"&lt;="&amp;$A10)</f>
        <v/>
      </c>
      <c r="D10" s="20">
        <f>B10-C10</f>
        <v/>
      </c>
    </row>
    <row r="11">
      <c r="A11" s="28">
        <f>EOMONTH(AsAt,0)</f>
        <v/>
      </c>
      <c r="B11" s="7">
        <f>SUMIFS(Cashflows!$E$4:$E$128,Cashflows!$D$4:$D$128,"call",Cashflows!$C$4:$C$128,"&gt;"&amp;EOMONTH($A11,-3),Cashflows!$C$4:$C$128,"&lt;="&amp;$A11)</f>
        <v/>
      </c>
      <c r="C11" s="7">
        <f>SUMIFS(Cashflows!$E$4:$E$128,Cashflows!$D$4:$D$128,"distribution",Cashflows!$C$4:$C$128,"&gt;"&amp;EOMONTH($A11,-3),Cashflows!$C$4:$C$128,"&lt;="&amp;$A11)</f>
        <v/>
      </c>
      <c r="D11" s="20">
        <f>B11-C11</f>
        <v/>
      </c>
    </row>
    <row r="12">
      <c r="A12" s="2" t="inlineStr">
        <is>
          <t>Total</t>
        </is>
      </c>
      <c r="B12" s="25">
        <f>SUM(B4:B11)</f>
        <v/>
      </c>
      <c r="C12" s="25">
        <f>SUM(C4:C11)</f>
        <v/>
      </c>
      <c r="D12" s="25">
        <f>SUM(D4:D11)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0" customWidth="1" min="3" max="3"/>
    <col width="32" customWidth="1" min="4" max="4"/>
  </cols>
  <sheetData>
    <row r="1">
      <c r="A1" s="1" t="inlineStr">
        <is>
          <t>Integrity checks (TRUE = pass)</t>
        </is>
      </c>
    </row>
    <row r="3" ht="30" customHeight="1">
      <c r="A3" s="5" t="inlineStr">
        <is>
          <t>Check</t>
        </is>
      </c>
      <c r="B3" s="5" t="inlineStr">
        <is>
          <t>Result</t>
        </is>
      </c>
      <c r="C3" s="5" t="inlineStr">
        <is>
          <t>Value</t>
        </is>
      </c>
      <c r="D3" s="5" t="inlineStr">
        <is>
          <t>What the value is</t>
        </is>
      </c>
    </row>
    <row r="4">
      <c r="A4" s="12" t="inlineStr">
        <is>
          <t>NAV bridge closes for every fund</t>
        </is>
      </c>
      <c r="B4" s="6">
        <f>SUMPRODUCT(--(ABS(NAV_Bridge!I4:I8)&gt;0.05))=0</f>
        <v/>
      </c>
      <c r="C4" s="7">
        <f>SUMPRODUCT(ABS(NAV_Bridge!I4:I8))</f>
        <v/>
      </c>
      <c r="D4" s="19" t="inlineStr">
        <is>
          <t>Sum of absolute breaks ($m)</t>
        </is>
      </c>
    </row>
    <row r="5">
      <c r="A5" s="12" t="inlineStr">
        <is>
          <t>Bridge closing NAV = Metrics NAV total</t>
        </is>
      </c>
      <c r="B5" s="6">
        <f>ABS(NAV_Bridge!H9-Metrics!G9)&lt;0.05</f>
        <v/>
      </c>
      <c r="C5" s="7">
        <f>NAV_Bridge!H9-Metrics!G9</f>
        <v/>
      </c>
      <c r="D5" s="19" t="inlineStr">
        <is>
          <t>Difference ($m)</t>
        </is>
      </c>
    </row>
    <row r="6">
      <c r="A6" s="12" t="inlineStr">
        <is>
          <t>Paid-in &lt;= commitment, every fund</t>
        </is>
      </c>
      <c r="B6" s="6">
        <f>SUMPRODUCT(--(Metrics!D4:D8&gt;Metrics!C4:C8))=0</f>
        <v/>
      </c>
      <c r="C6" s="11">
        <f>SUMPRODUCT(--(Metrics!D4:D8&gt;Metrics!C4:C8))</f>
        <v/>
      </c>
      <c r="D6" s="19" t="inlineStr">
        <is>
          <t>Funds over-called</t>
        </is>
      </c>
    </row>
    <row r="7">
      <c r="A7" s="12" t="inlineStr">
        <is>
          <t>TVPI = DPI + RVPI, every fund</t>
        </is>
      </c>
      <c r="B7" s="6">
        <f>SUMPRODUCT(--(ABS(Metrics!J4:J8-Metrics!H4:H8-Metrics!I4:I8)&gt;0.0001))=0</f>
        <v/>
      </c>
    </row>
    <row r="8">
      <c r="A8" s="12" t="inlineStr">
        <is>
          <t>Exception log = sum of fund counts</t>
        </is>
      </c>
      <c r="B8" s="6">
        <f>COUNTIF(Exceptions!H4:H10,"Open")=Metrics!L9</f>
        <v/>
      </c>
      <c r="C8" s="11">
        <f>COUNTIF(Exceptions!H4:H10,"Open")</f>
        <v/>
      </c>
      <c r="D8" s="19" t="inlineStr">
        <is>
          <t>Open exceptions</t>
        </is>
      </c>
    </row>
    <row r="9">
      <c r="A9" s="12" t="inlineStr">
        <is>
          <t>No cash flows dated after as-at</t>
        </is>
      </c>
      <c r="B9" s="6">
        <f>COUNTIF(Cashflows!$C$4:$C$128,"&gt;"&amp;AsAt)=0</f>
        <v/>
      </c>
      <c r="C9" s="11">
        <f>COUNTIF(Cashflows!$C$4:$C$128,"&gt;"&amp;AsAt)</f>
        <v/>
      </c>
      <c r="D9" s="19" t="inlineStr">
        <is>
          <t>Rows after as-at</t>
        </is>
      </c>
    </row>
    <row r="10">
      <c r="A10" s="12" t="inlineStr">
        <is>
          <t>Quarterly calls tie to cash flows in window</t>
        </is>
      </c>
      <c r="B10" s="6">
        <f>ABS(Quarterly!B12-SUMIFS(Cashflows!$E$4:$E$128,Cashflows!$D$4:$D$128,"call",Cashflows!$C$4:$C$128,"&gt;"&amp;EOMONTH(AsAt,-24),Cashflows!$C$4:$C$128,"&lt;="&amp;AsAt))&lt;0.05</f>
        <v/>
      </c>
      <c r="C10" s="7">
        <f>Quarterly!B12</f>
        <v/>
      </c>
      <c r="D10" s="19" t="inlineStr">
        <is>
          <t>8-quarter calls ($m)</t>
        </is>
      </c>
    </row>
    <row r="12">
      <c r="A12" s="2" t="inlineStr">
        <is>
          <t>All checks pass</t>
        </is>
      </c>
      <c r="B12" s="2">
        <f>AND(B4:B10)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2026-10-13T17:49:51+00:00Z</dcterms:created>
  <dcterms:modified xmlns:dcterms="http://purl.org/dc/terms/" xmlns:xsi="http://www.w3.org/2001/XMLSchema-instance" xsi:type="dcterms:W3CDTF">2026-10-13T17:49:51+00:00Z</dcterms:modified>
</cp:coreProperties>
</file>